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345" windowWidth="11355" windowHeight="5385" tabRatio="968" firstSheet="3" activeTab="11"/>
  </bookViews>
  <sheets>
    <sheet name="هيكلية قرارات التوظيف الإجباري" sheetId="16" r:id="rId1"/>
    <sheet name="أساس الأداء في الطور الإبتدائي" sheetId="2" r:id="rId2"/>
    <sheet name="قرارات التوظيف الإجباري" sheetId="25" r:id="rId3"/>
    <sheet name="ت,إ المحكوم بإقرارها" sheetId="22" r:id="rId4"/>
    <sheet name="تعديل قرارات تويف" sheetId="27" r:id="rId5"/>
    <sheet name="إلغاء قرارات تويف" sheetId="28" r:id="rId6"/>
    <sheet name="الطور الإبتدائي" sheetId="26" r:id="rId7"/>
    <sheet name="الطور الإستئنافي" sheetId="3" r:id="rId8"/>
    <sheet name="القضايا التعقيبية" sheetId="31" r:id="rId9"/>
    <sheet name="قرارات المحكمة الإدارية" sheetId="32" r:id="rId10"/>
    <sheet name="المخالفات الجبائية" sheetId="30" r:id="rId11"/>
    <sheet name="ملحق عدد 13 " sheetId="34" r:id="rId12"/>
  </sheets>
  <externalReferences>
    <externalReference r:id="rId13"/>
  </externalReferences>
  <definedNames>
    <definedName name="_xlnm._FilterDatabase" localSheetId="1" hidden="1">'أساس الأداء في الطور الإبتدائي'!$I$1:$I$657</definedName>
    <definedName name="_xlnm._FilterDatabase" localSheetId="0" hidden="1">'هيكلية قرارات التوظيف الإجباري'!$L$1:$L$340</definedName>
    <definedName name="_xlnm.Print_Area" localSheetId="1">'أساس الأداء في الطور الإبتدائي'!$B$1:$N$37</definedName>
    <definedName name="_xlnm.Print_Area" localSheetId="6">'الطور الإبتدائي'!$A$1:$L$10</definedName>
    <definedName name="_xlnm.Print_Area" localSheetId="7">'الطور الإستئنافي'!$B$1:$P$36</definedName>
    <definedName name="_xlnm.Print_Area" localSheetId="5">'إلغاء قرارات تويف'!$B$1:$I$37</definedName>
    <definedName name="_xlnm.Print_Area" localSheetId="10">'المخالفات الجبائية'!$D$1:$N$196</definedName>
    <definedName name="_xlnm.Print_Area" localSheetId="2">'قرارات التوظيف الإجباري'!$A$2:$M$38</definedName>
    <definedName name="_xlnm.Print_Area" localSheetId="0">'هيكلية قرارات التوظيف الإجباري'!$A$1:$T$39</definedName>
  </definedNames>
  <calcPr calcId="124519"/>
</workbook>
</file>

<file path=xl/calcChain.xml><?xml version="1.0" encoding="utf-8"?>
<calcChain xmlns="http://schemas.openxmlformats.org/spreadsheetml/2006/main">
  <c r="C12" i="34"/>
  <c r="O10" i="3"/>
  <c r="N10"/>
  <c r="M10"/>
  <c r="J10"/>
  <c r="L31" i="25" l="1"/>
  <c r="L32"/>
  <c r="L35"/>
  <c r="E8" i="2" l="1"/>
  <c r="O38" l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8"/>
  <c r="F9"/>
  <c r="F10"/>
  <c r="F11"/>
  <c r="F12"/>
  <c r="F13"/>
  <c r="G7"/>
  <c r="F7"/>
  <c r="F29" i="27"/>
  <c r="C29"/>
  <c r="F26"/>
  <c r="C26"/>
  <c r="F23"/>
  <c r="C23"/>
  <c r="F22"/>
  <c r="C22"/>
  <c r="F21"/>
  <c r="C21"/>
  <c r="F20"/>
  <c r="C20"/>
  <c r="F19"/>
  <c r="C19"/>
  <c r="F18"/>
  <c r="C18"/>
  <c r="F17"/>
  <c r="C17"/>
  <c r="F14"/>
  <c r="C14"/>
  <c r="F13"/>
  <c r="C13"/>
  <c r="F12"/>
  <c r="C12"/>
  <c r="F11"/>
  <c r="C11"/>
  <c r="F10"/>
  <c r="C10"/>
  <c r="F9"/>
  <c r="C9"/>
  <c r="F8"/>
  <c r="C8"/>
  <c r="F6"/>
  <c r="C6"/>
  <c r="G27" i="25"/>
  <c r="G26"/>
  <c r="G24"/>
  <c r="G22"/>
  <c r="G21"/>
  <c r="G20"/>
  <c r="G19"/>
  <c r="G16"/>
  <c r="G14"/>
  <c r="G13"/>
  <c r="G12"/>
  <c r="G11"/>
  <c r="G10"/>
  <c r="G9"/>
  <c r="C36" i="28"/>
  <c r="E36"/>
  <c r="H16" i="2" l="1"/>
  <c r="O7" i="3"/>
  <c r="N7"/>
  <c r="M7"/>
  <c r="L7" i="25"/>
  <c r="O13" i="3"/>
  <c r="N13"/>
  <c r="M13"/>
  <c r="M14" i="16"/>
  <c r="L14"/>
  <c r="L19"/>
  <c r="M19"/>
  <c r="O18" i="3"/>
  <c r="N18"/>
  <c r="M18"/>
  <c r="D8" i="32"/>
  <c r="K66" i="30"/>
  <c r="O14" i="3"/>
  <c r="N14"/>
  <c r="M14"/>
  <c r="K13" i="27"/>
  <c r="M15" i="16"/>
  <c r="K30" i="27"/>
  <c r="K34"/>
  <c r="S11" i="16"/>
  <c r="S12"/>
  <c r="K254" i="30"/>
  <c r="I254"/>
  <c r="M33" i="16"/>
  <c r="L33"/>
  <c r="M35"/>
  <c r="L35"/>
  <c r="O32" i="3"/>
  <c r="N32"/>
  <c r="M32"/>
  <c r="K225" i="30"/>
  <c r="I225"/>
  <c r="G225"/>
  <c r="P30" i="3"/>
  <c r="M31" i="16"/>
  <c r="M29" i="3"/>
  <c r="M30" i="16"/>
  <c r="O27" i="3"/>
  <c r="N27"/>
  <c r="M27"/>
  <c r="O26"/>
  <c r="M26"/>
  <c r="M27" i="16"/>
  <c r="K168" i="30"/>
  <c r="M26" i="16"/>
  <c r="L26"/>
  <c r="O24" i="3"/>
  <c r="N24"/>
  <c r="M24"/>
  <c r="M25" i="16"/>
  <c r="L25"/>
  <c r="O23" i="3"/>
  <c r="N23"/>
  <c r="M23"/>
  <c r="M24" i="16"/>
  <c r="K141" i="30"/>
  <c r="I141"/>
  <c r="O22" i="3"/>
  <c r="N22"/>
  <c r="M22"/>
  <c r="M23" i="16"/>
  <c r="L23"/>
  <c r="O21" i="3"/>
  <c r="N21"/>
  <c r="M21"/>
  <c r="K20" i="27"/>
  <c r="N22" i="16"/>
  <c r="M22"/>
  <c r="M21"/>
  <c r="K116" i="30"/>
  <c r="K115"/>
  <c r="K114"/>
  <c r="P19" i="3"/>
  <c r="O19"/>
  <c r="N19"/>
  <c r="M19"/>
  <c r="M20" i="16"/>
  <c r="L20"/>
  <c r="K84" i="30"/>
  <c r="I84"/>
  <c r="G84"/>
  <c r="M17" i="16"/>
  <c r="L17"/>
  <c r="O15" i="3"/>
  <c r="N15"/>
  <c r="M15"/>
  <c r="K15"/>
  <c r="J15"/>
  <c r="M16" i="16"/>
  <c r="L16"/>
  <c r="M13"/>
  <c r="K39" i="30"/>
  <c r="I39"/>
  <c r="G39"/>
  <c r="M10" i="16"/>
  <c r="L10"/>
  <c r="K7" i="27"/>
  <c r="R19" i="16"/>
  <c r="S19"/>
  <c r="R20"/>
  <c r="S20"/>
  <c r="R21"/>
  <c r="S21"/>
  <c r="R22"/>
  <c r="S22"/>
  <c r="R23"/>
  <c r="S23"/>
  <c r="R24"/>
  <c r="S24"/>
  <c r="R25"/>
  <c r="S25"/>
  <c r="R26"/>
  <c r="S26"/>
  <c r="R27"/>
  <c r="S27"/>
  <c r="R28"/>
  <c r="S28"/>
  <c r="R29"/>
  <c r="S29"/>
  <c r="R30"/>
  <c r="S30"/>
  <c r="R31"/>
  <c r="S31"/>
  <c r="R32"/>
  <c r="S32"/>
  <c r="R33"/>
  <c r="S33"/>
  <c r="R34"/>
  <c r="S34"/>
  <c r="R35"/>
  <c r="S35"/>
  <c r="R36"/>
  <c r="S36"/>
  <c r="R8"/>
  <c r="S8"/>
  <c r="R9"/>
  <c r="S9"/>
  <c r="R10"/>
  <c r="S10"/>
  <c r="R11"/>
  <c r="R12"/>
  <c r="R13"/>
  <c r="S13"/>
  <c r="R14"/>
  <c r="S14"/>
  <c r="R15"/>
  <c r="S15"/>
  <c r="R16"/>
  <c r="S16"/>
  <c r="R17"/>
  <c r="S17"/>
  <c r="S18"/>
  <c r="R18"/>
  <c r="M18"/>
  <c r="C7" i="3"/>
  <c r="C21"/>
  <c r="C20"/>
  <c r="D18"/>
  <c r="C18"/>
  <c r="D15"/>
  <c r="C15"/>
  <c r="C14"/>
  <c r="C10"/>
  <c r="D36" i="22"/>
  <c r="C37" i="16"/>
  <c r="D37"/>
  <c r="E37"/>
  <c r="F37"/>
  <c r="G37"/>
  <c r="H37"/>
  <c r="H17"/>
  <c r="P14" i="3" l="1"/>
  <c r="L14"/>
  <c r="I12"/>
  <c r="E12"/>
  <c r="L12" i="25"/>
  <c r="M14" i="30"/>
  <c r="M15"/>
  <c r="M16"/>
  <c r="L14"/>
  <c r="L15"/>
  <c r="L16"/>
  <c r="K13"/>
  <c r="K14"/>
  <c r="K15"/>
  <c r="K16"/>
  <c r="I14"/>
  <c r="I15"/>
  <c r="I16"/>
  <c r="H16"/>
  <c r="G16"/>
  <c r="J7" i="2" l="1"/>
  <c r="J8"/>
  <c r="F8" i="22" s="1"/>
  <c r="J9" i="2"/>
  <c r="J10"/>
  <c r="J11"/>
  <c r="J12"/>
  <c r="J13"/>
  <c r="J14"/>
  <c r="J15"/>
  <c r="J16"/>
  <c r="J17"/>
  <c r="K17" s="1"/>
  <c r="J18"/>
  <c r="J19"/>
  <c r="J20"/>
  <c r="J21"/>
  <c r="J22"/>
  <c r="J23"/>
  <c r="J24"/>
  <c r="F24" i="22" s="1"/>
  <c r="J25" i="2"/>
  <c r="J26"/>
  <c r="J27"/>
  <c r="J28"/>
  <c r="J29"/>
  <c r="J30"/>
  <c r="K30" s="1"/>
  <c r="J31"/>
  <c r="J32"/>
  <c r="J33"/>
  <c r="J34"/>
  <c r="F34" i="22" s="1"/>
  <c r="J35" i="2"/>
  <c r="I34" i="3"/>
  <c r="M12" i="2"/>
  <c r="M13"/>
  <c r="M14"/>
  <c r="L13"/>
  <c r="L14"/>
  <c r="K26" i="27"/>
  <c r="L27" i="25"/>
  <c r="P11" i="3"/>
  <c r="P12"/>
  <c r="P13"/>
  <c r="P15"/>
  <c r="P16"/>
  <c r="P18"/>
  <c r="P20"/>
  <c r="P21"/>
  <c r="P22"/>
  <c r="P23"/>
  <c r="P25"/>
  <c r="P26"/>
  <c r="P27"/>
  <c r="P29"/>
  <c r="P31"/>
  <c r="P32"/>
  <c r="P34"/>
  <c r="P35"/>
  <c r="M8" i="2"/>
  <c r="L7"/>
  <c r="L8"/>
  <c r="K21" i="27"/>
  <c r="F35" i="22" l="1"/>
  <c r="I35" i="25"/>
  <c r="I31"/>
  <c r="F31" i="22"/>
  <c r="I27" i="25"/>
  <c r="F27" i="22"/>
  <c r="F23"/>
  <c r="I23" i="25"/>
  <c r="F19" i="22"/>
  <c r="I19" i="25"/>
  <c r="F11" i="22"/>
  <c r="I11" i="25"/>
  <c r="F7" i="22"/>
  <c r="I7" i="25"/>
  <c r="I32"/>
  <c r="F32" i="22"/>
  <c r="F28"/>
  <c r="I28" i="25"/>
  <c r="F20" i="22"/>
  <c r="I20" i="25"/>
  <c r="F16" i="22"/>
  <c r="I16" i="25"/>
  <c r="I12"/>
  <c r="F12" i="22"/>
  <c r="F29"/>
  <c r="I29" i="25"/>
  <c r="F25" i="22"/>
  <c r="I25" i="25"/>
  <c r="F21" i="22"/>
  <c r="I21" i="25"/>
  <c r="I13"/>
  <c r="F13" i="22"/>
  <c r="F9"/>
  <c r="I9" i="25"/>
  <c r="I26"/>
  <c r="F26" i="22"/>
  <c r="I22" i="25"/>
  <c r="F22" i="22"/>
  <c r="I18" i="25"/>
  <c r="F18" i="22"/>
  <c r="F14"/>
  <c r="I14" i="25"/>
  <c r="F10" i="22"/>
  <c r="I10" i="25"/>
  <c r="F15" i="22"/>
  <c r="I15" i="25"/>
  <c r="G7" i="28"/>
  <c r="H6" i="27"/>
  <c r="K7" i="2"/>
  <c r="H7" i="27"/>
  <c r="G8" i="28"/>
  <c r="K8" i="2"/>
  <c r="K34"/>
  <c r="H33" i="27"/>
  <c r="H25"/>
  <c r="K26" i="2"/>
  <c r="G26" i="28"/>
  <c r="H21" i="27"/>
  <c r="K22" i="2"/>
  <c r="G22" i="28"/>
  <c r="H17" i="27"/>
  <c r="K18" i="2"/>
  <c r="G18" i="28"/>
  <c r="H13" i="27"/>
  <c r="G14" i="28"/>
  <c r="K14" i="2"/>
  <c r="H9" i="27"/>
  <c r="G10" i="28"/>
  <c r="K10" i="2"/>
  <c r="H34" i="27"/>
  <c r="K35" i="2"/>
  <c r="G35" i="28"/>
  <c r="K31" i="2"/>
  <c r="H30" i="27"/>
  <c r="G31" i="28"/>
  <c r="H26" i="27"/>
  <c r="K27" i="2"/>
  <c r="G27" i="28"/>
  <c r="H22" i="27"/>
  <c r="K23" i="2"/>
  <c r="G23" i="28"/>
  <c r="H18" i="27"/>
  <c r="K19" i="2"/>
  <c r="G19" i="28"/>
  <c r="G15"/>
  <c r="K15" i="2"/>
  <c r="H14" i="27"/>
  <c r="G11" i="28"/>
  <c r="K11" i="2"/>
  <c r="H10" i="27"/>
  <c r="H31"/>
  <c r="K32" i="2"/>
  <c r="K28"/>
  <c r="H27" i="27"/>
  <c r="G24" i="28"/>
  <c r="K24" i="2"/>
  <c r="H23" i="27"/>
  <c r="G20" i="28"/>
  <c r="K20" i="2"/>
  <c r="H19" i="27"/>
  <c r="H15"/>
  <c r="G16" i="28"/>
  <c r="K16" i="2"/>
  <c r="K12"/>
  <c r="H11" i="27"/>
  <c r="G12" i="28"/>
  <c r="K29" i="2"/>
  <c r="H28" i="27"/>
  <c r="K25" i="2"/>
  <c r="H24" i="27"/>
  <c r="G25" i="28"/>
  <c r="K21" i="2"/>
  <c r="H20" i="27"/>
  <c r="G21" i="28"/>
  <c r="K13" i="2"/>
  <c r="H12" i="27"/>
  <c r="G13" i="28"/>
  <c r="G9"/>
  <c r="H8" i="27"/>
  <c r="K9" i="2"/>
  <c r="N8"/>
  <c r="P24" i="3"/>
  <c r="P8"/>
  <c r="P9"/>
  <c r="L30" l="1"/>
  <c r="L16" i="25"/>
  <c r="L9"/>
  <c r="L10"/>
  <c r="L21" i="3"/>
  <c r="K10" i="27"/>
  <c r="L11" i="25"/>
  <c r="L13"/>
  <c r="L23"/>
  <c r="K18" i="27"/>
  <c r="T37" i="16"/>
  <c r="K37"/>
  <c r="H26" i="2" l="1"/>
  <c r="H27"/>
  <c r="K24" i="27"/>
  <c r="C36" i="25"/>
  <c r="C36" i="2"/>
  <c r="I36"/>
  <c r="H34" l="1"/>
  <c r="K9" i="27" l="1"/>
  <c r="L9" i="3"/>
  <c r="K8" i="27"/>
  <c r="L15" i="25"/>
  <c r="I8" i="16"/>
  <c r="J8"/>
  <c r="I9"/>
  <c r="J9"/>
  <c r="I10"/>
  <c r="J10"/>
  <c r="L12" i="3"/>
  <c r="L25"/>
  <c r="M32" i="2"/>
  <c r="M33"/>
  <c r="M34"/>
  <c r="M35"/>
  <c r="L33"/>
  <c r="L34"/>
  <c r="L35"/>
  <c r="M29"/>
  <c r="M30"/>
  <c r="M31"/>
  <c r="L29"/>
  <c r="L30"/>
  <c r="L31"/>
  <c r="L32"/>
  <c r="K27" i="27"/>
  <c r="K25"/>
  <c r="L25" i="25"/>
  <c r="L18"/>
  <c r="K15" i="27"/>
  <c r="I11" i="16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D12" i="32"/>
  <c r="D10"/>
  <c r="C10"/>
  <c r="C12"/>
  <c r="N32" i="2" l="1"/>
  <c r="N34"/>
  <c r="N29"/>
  <c r="N35"/>
  <c r="J37" i="16"/>
  <c r="N31" i="2"/>
  <c r="M288" i="30"/>
  <c r="L288"/>
  <c r="K288"/>
  <c r="J288"/>
  <c r="I288"/>
  <c r="H288"/>
  <c r="G288"/>
  <c r="M279"/>
  <c r="L279"/>
  <c r="K279"/>
  <c r="J279"/>
  <c r="I279"/>
  <c r="H279"/>
  <c r="G279"/>
  <c r="M269"/>
  <c r="L269"/>
  <c r="K269"/>
  <c r="J269"/>
  <c r="I269"/>
  <c r="H269"/>
  <c r="G269"/>
  <c r="M259"/>
  <c r="L259"/>
  <c r="K259"/>
  <c r="J259"/>
  <c r="I259"/>
  <c r="H259"/>
  <c r="G259"/>
  <c r="M250"/>
  <c r="L250"/>
  <c r="K250"/>
  <c r="J250"/>
  <c r="I250"/>
  <c r="H250"/>
  <c r="G250"/>
  <c r="M241"/>
  <c r="L241"/>
  <c r="K241"/>
  <c r="J241"/>
  <c r="I241"/>
  <c r="H241"/>
  <c r="G241"/>
  <c r="M230"/>
  <c r="L230"/>
  <c r="K230"/>
  <c r="J230"/>
  <c r="I230"/>
  <c r="H230"/>
  <c r="G230"/>
  <c r="M221"/>
  <c r="L221"/>
  <c r="K221"/>
  <c r="J221"/>
  <c r="I221"/>
  <c r="H221"/>
  <c r="G221"/>
  <c r="M211"/>
  <c r="L211"/>
  <c r="J211"/>
  <c r="I211"/>
  <c r="H211"/>
  <c r="G211"/>
  <c r="K211"/>
  <c r="M201"/>
  <c r="L201"/>
  <c r="J201"/>
  <c r="H201"/>
  <c r="K201"/>
  <c r="I201"/>
  <c r="G201"/>
  <c r="M191"/>
  <c r="L191"/>
  <c r="J191"/>
  <c r="H191"/>
  <c r="K191"/>
  <c r="I191"/>
  <c r="G191"/>
  <c r="M182"/>
  <c r="L182"/>
  <c r="K182"/>
  <c r="J182"/>
  <c r="I182"/>
  <c r="H182"/>
  <c r="G182"/>
  <c r="M173"/>
  <c r="L173"/>
  <c r="K173"/>
  <c r="J173"/>
  <c r="I173"/>
  <c r="H173"/>
  <c r="G173"/>
  <c r="M164"/>
  <c r="L164"/>
  <c r="J164"/>
  <c r="H164"/>
  <c r="K164"/>
  <c r="I164"/>
  <c r="G164"/>
  <c r="M155"/>
  <c r="L155"/>
  <c r="K155"/>
  <c r="J155"/>
  <c r="I155"/>
  <c r="H155"/>
  <c r="G155"/>
  <c r="M146"/>
  <c r="L146"/>
  <c r="K146"/>
  <c r="J146"/>
  <c r="I146"/>
  <c r="H146"/>
  <c r="G146"/>
  <c r="M137"/>
  <c r="L137"/>
  <c r="K137"/>
  <c r="J137"/>
  <c r="I137"/>
  <c r="H137"/>
  <c r="G137"/>
  <c r="M128"/>
  <c r="L128"/>
  <c r="K128"/>
  <c r="J128"/>
  <c r="I128"/>
  <c r="H128"/>
  <c r="G128"/>
  <c r="M119"/>
  <c r="L119"/>
  <c r="J119"/>
  <c r="H119"/>
  <c r="K119"/>
  <c r="I119"/>
  <c r="G119"/>
  <c r="M110"/>
  <c r="L110"/>
  <c r="K110"/>
  <c r="J110"/>
  <c r="I110"/>
  <c r="H110"/>
  <c r="G110"/>
  <c r="M99"/>
  <c r="L99"/>
  <c r="K99"/>
  <c r="J99"/>
  <c r="I99"/>
  <c r="H99"/>
  <c r="G99"/>
  <c r="M89"/>
  <c r="L89"/>
  <c r="K89"/>
  <c r="J89"/>
  <c r="I89"/>
  <c r="H89"/>
  <c r="G89"/>
  <c r="M80"/>
  <c r="L80"/>
  <c r="J80"/>
  <c r="H80"/>
  <c r="K80"/>
  <c r="I80"/>
  <c r="G80"/>
  <c r="M71"/>
  <c r="L71"/>
  <c r="K71"/>
  <c r="J71"/>
  <c r="I71"/>
  <c r="H71"/>
  <c r="G71"/>
  <c r="M62"/>
  <c r="L62"/>
  <c r="K62"/>
  <c r="J62"/>
  <c r="I62"/>
  <c r="H62"/>
  <c r="G62"/>
  <c r="M53"/>
  <c r="L53"/>
  <c r="K53"/>
  <c r="J53"/>
  <c r="I53"/>
  <c r="H53"/>
  <c r="G53"/>
  <c r="M44"/>
  <c r="L44"/>
  <c r="K44"/>
  <c r="J44"/>
  <c r="I44"/>
  <c r="H44"/>
  <c r="G44"/>
  <c r="M35"/>
  <c r="L35"/>
  <c r="J35"/>
  <c r="I35"/>
  <c r="H35"/>
  <c r="G35"/>
  <c r="K35"/>
  <c r="M26"/>
  <c r="L26"/>
  <c r="K26"/>
  <c r="J26"/>
  <c r="I26"/>
  <c r="H26"/>
  <c r="G26"/>
  <c r="J16"/>
  <c r="J15"/>
  <c r="G15"/>
  <c r="J14"/>
  <c r="H14"/>
  <c r="G14"/>
  <c r="M13"/>
  <c r="L13"/>
  <c r="J13"/>
  <c r="I13"/>
  <c r="H13"/>
  <c r="G13"/>
  <c r="M12"/>
  <c r="M17" s="1"/>
  <c r="L12"/>
  <c r="K12"/>
  <c r="J12"/>
  <c r="I12"/>
  <c r="H12"/>
  <c r="G12"/>
  <c r="L17" l="1"/>
  <c r="H17"/>
  <c r="K17"/>
  <c r="G17"/>
  <c r="J17"/>
  <c r="I17"/>
  <c r="P7" i="3" l="1"/>
  <c r="L7"/>
  <c r="L8"/>
  <c r="I7"/>
  <c r="I8"/>
  <c r="E7"/>
  <c r="E8"/>
  <c r="H36" i="28"/>
  <c r="F36"/>
  <c r="G35" i="27"/>
  <c r="E36" i="22"/>
  <c r="K36" i="25"/>
  <c r="J36"/>
  <c r="H36"/>
  <c r="J35" i="27"/>
  <c r="I35"/>
  <c r="B35"/>
  <c r="G36" i="22"/>
  <c r="B36"/>
  <c r="M37" i="16" l="1"/>
  <c r="N37"/>
  <c r="O37"/>
  <c r="P37"/>
  <c r="L37"/>
  <c r="K9" i="26"/>
  <c r="J9"/>
  <c r="H9"/>
  <c r="C9"/>
  <c r="J8"/>
  <c r="H8"/>
  <c r="C8"/>
  <c r="K6" i="27"/>
  <c r="K23"/>
  <c r="K19"/>
  <c r="K17"/>
  <c r="K14"/>
  <c r="K12"/>
  <c r="K11"/>
  <c r="K7" i="26"/>
  <c r="H7"/>
  <c r="C7"/>
  <c r="K6"/>
  <c r="J6"/>
  <c r="H6"/>
  <c r="C6"/>
  <c r="L26" i="25"/>
  <c r="L22"/>
  <c r="L21"/>
  <c r="L20"/>
  <c r="L19"/>
  <c r="L11" i="3"/>
  <c r="L13"/>
  <c r="L16"/>
  <c r="L19"/>
  <c r="L22"/>
  <c r="L23"/>
  <c r="L24"/>
  <c r="L26"/>
  <c r="L27"/>
  <c r="L28"/>
  <c r="L29"/>
  <c r="L31"/>
  <c r="L32"/>
  <c r="L34"/>
  <c r="L35"/>
  <c r="L20"/>
  <c r="K36"/>
  <c r="W11"/>
  <c r="X11"/>
  <c r="Y11"/>
  <c r="W17"/>
  <c r="X17"/>
  <c r="Y17"/>
  <c r="X23"/>
  <c r="W28"/>
  <c r="X28"/>
  <c r="Y28"/>
  <c r="W29"/>
  <c r="X29"/>
  <c r="Y29"/>
  <c r="W32"/>
  <c r="X32"/>
  <c r="Y32"/>
  <c r="W33"/>
  <c r="X33"/>
  <c r="Y33"/>
  <c r="W35"/>
  <c r="X35"/>
  <c r="Y35"/>
  <c r="V34"/>
  <c r="Y34" s="1"/>
  <c r="U34"/>
  <c r="X34" s="1"/>
  <c r="T34"/>
  <c r="W34" s="1"/>
  <c r="V31"/>
  <c r="Y31" s="1"/>
  <c r="U31"/>
  <c r="X31" s="1"/>
  <c r="T31"/>
  <c r="W31" s="1"/>
  <c r="V30"/>
  <c r="Y30" s="1"/>
  <c r="U30"/>
  <c r="X30" s="1"/>
  <c r="T30"/>
  <c r="W30" s="1"/>
  <c r="V27"/>
  <c r="Y27" s="1"/>
  <c r="U27"/>
  <c r="X27" s="1"/>
  <c r="T27"/>
  <c r="W27" s="1"/>
  <c r="V26"/>
  <c r="Y26" s="1"/>
  <c r="U26"/>
  <c r="X26" s="1"/>
  <c r="T26"/>
  <c r="W26" s="1"/>
  <c r="V25"/>
  <c r="Y25" s="1"/>
  <c r="U25"/>
  <c r="X25" s="1"/>
  <c r="T25"/>
  <c r="W25" s="1"/>
  <c r="V24"/>
  <c r="Y24" s="1"/>
  <c r="U24"/>
  <c r="X24" s="1"/>
  <c r="T24"/>
  <c r="W24" s="1"/>
  <c r="V23"/>
  <c r="Y23" s="1"/>
  <c r="T23"/>
  <c r="W23" s="1"/>
  <c r="V22"/>
  <c r="Y22" s="1"/>
  <c r="U22"/>
  <c r="X22" s="1"/>
  <c r="T22"/>
  <c r="W22" s="1"/>
  <c r="V21"/>
  <c r="Y21" s="1"/>
  <c r="U21"/>
  <c r="X21" s="1"/>
  <c r="T21"/>
  <c r="W21" s="1"/>
  <c r="V20"/>
  <c r="Y20" s="1"/>
  <c r="U20"/>
  <c r="X20" s="1"/>
  <c r="T20"/>
  <c r="W20" s="1"/>
  <c r="V19"/>
  <c r="Y19" s="1"/>
  <c r="U19"/>
  <c r="X19" s="1"/>
  <c r="T19"/>
  <c r="W19" s="1"/>
  <c r="V18"/>
  <c r="Y18" s="1"/>
  <c r="U18"/>
  <c r="X18" s="1"/>
  <c r="T18"/>
  <c r="W18" s="1"/>
  <c r="V16"/>
  <c r="Y16" s="1"/>
  <c r="U16"/>
  <c r="X16" s="1"/>
  <c r="T16"/>
  <c r="W16" s="1"/>
  <c r="V15"/>
  <c r="Y15" s="1"/>
  <c r="U15"/>
  <c r="X15" s="1"/>
  <c r="T15"/>
  <c r="W15" s="1"/>
  <c r="V14"/>
  <c r="Y14" s="1"/>
  <c r="U14"/>
  <c r="X14" s="1"/>
  <c r="T14"/>
  <c r="W14" s="1"/>
  <c r="V13"/>
  <c r="Y13" s="1"/>
  <c r="U13"/>
  <c r="X13" s="1"/>
  <c r="T13"/>
  <c r="W13" s="1"/>
  <c r="V12"/>
  <c r="Y12" s="1"/>
  <c r="U12"/>
  <c r="X12" s="1"/>
  <c r="T12"/>
  <c r="W12" s="1"/>
  <c r="V10"/>
  <c r="Y10" s="1"/>
  <c r="U10"/>
  <c r="X10" s="1"/>
  <c r="T10"/>
  <c r="W10" s="1"/>
  <c r="V9"/>
  <c r="Y9" s="1"/>
  <c r="H36" s="1"/>
  <c r="U9"/>
  <c r="X9" s="1"/>
  <c r="G36" s="1"/>
  <c r="T9"/>
  <c r="W9" s="1"/>
  <c r="S43" i="2"/>
  <c r="T43"/>
  <c r="S44"/>
  <c r="T44"/>
  <c r="S45"/>
  <c r="T45"/>
  <c r="S46"/>
  <c r="T46"/>
  <c r="S47"/>
  <c r="T47"/>
  <c r="S48"/>
  <c r="T48"/>
  <c r="S49"/>
  <c r="T49"/>
  <c r="S50"/>
  <c r="T50"/>
  <c r="S51"/>
  <c r="T51"/>
  <c r="S52"/>
  <c r="T52"/>
  <c r="S53"/>
  <c r="T53"/>
  <c r="S54"/>
  <c r="T54"/>
  <c r="S55"/>
  <c r="T55"/>
  <c r="S56"/>
  <c r="T56"/>
  <c r="S57"/>
  <c r="T57"/>
  <c r="S58"/>
  <c r="T58"/>
  <c r="S59"/>
  <c r="T59"/>
  <c r="S60"/>
  <c r="T60"/>
  <c r="S61"/>
  <c r="T61"/>
  <c r="S62"/>
  <c r="T62"/>
  <c r="S63"/>
  <c r="T63"/>
  <c r="S64"/>
  <c r="T64"/>
  <c r="S65"/>
  <c r="T65"/>
  <c r="S66"/>
  <c r="T66"/>
  <c r="S67"/>
  <c r="T67"/>
  <c r="S68"/>
  <c r="T68"/>
  <c r="S69"/>
  <c r="E36" i="25" s="1"/>
  <c r="T69" i="2"/>
  <c r="F36" i="25" s="1"/>
  <c r="S70" i="2"/>
  <c r="T70"/>
  <c r="T42"/>
  <c r="S42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81"/>
  <c r="T120"/>
  <c r="U120"/>
  <c r="T121"/>
  <c r="U121"/>
  <c r="T122"/>
  <c r="U122"/>
  <c r="T123"/>
  <c r="U123"/>
  <c r="T124"/>
  <c r="U124"/>
  <c r="T125"/>
  <c r="U125"/>
  <c r="T126"/>
  <c r="U126"/>
  <c r="T127"/>
  <c r="U127"/>
  <c r="T128"/>
  <c r="U128"/>
  <c r="T129"/>
  <c r="U129"/>
  <c r="T130"/>
  <c r="U130"/>
  <c r="T131"/>
  <c r="U131"/>
  <c r="T132"/>
  <c r="U132"/>
  <c r="T133"/>
  <c r="U133"/>
  <c r="T134"/>
  <c r="U134"/>
  <c r="T135"/>
  <c r="U135"/>
  <c r="T136"/>
  <c r="U136"/>
  <c r="T137"/>
  <c r="U137"/>
  <c r="T138"/>
  <c r="U138"/>
  <c r="T139"/>
  <c r="U139"/>
  <c r="T140"/>
  <c r="U140"/>
  <c r="T141"/>
  <c r="U141"/>
  <c r="T142"/>
  <c r="U142"/>
  <c r="T143"/>
  <c r="U143"/>
  <c r="T144"/>
  <c r="U144"/>
  <c r="T145"/>
  <c r="U145"/>
  <c r="T146"/>
  <c r="U146"/>
  <c r="E35" i="27" s="1"/>
  <c r="T147" i="2"/>
  <c r="U147"/>
  <c r="U119"/>
  <c r="T119"/>
  <c r="S157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58"/>
  <c r="G36" i="25" l="1"/>
  <c r="I38" i="2" s="1"/>
  <c r="R37" i="16"/>
  <c r="D35" i="27"/>
  <c r="I37" i="16"/>
  <c r="F36" i="3"/>
  <c r="L10"/>
  <c r="J36"/>
  <c r="C36"/>
  <c r="L15"/>
  <c r="L36" i="25"/>
  <c r="J7" i="26"/>
  <c r="L7" s="1"/>
  <c r="K35" i="27"/>
  <c r="K8" i="26"/>
  <c r="L8" s="1"/>
  <c r="L9"/>
  <c r="L6"/>
  <c r="F9"/>
  <c r="G9" s="1"/>
  <c r="E8"/>
  <c r="E6"/>
  <c r="L18" i="3"/>
  <c r="I18"/>
  <c r="I22"/>
  <c r="I31"/>
  <c r="I16"/>
  <c r="I9"/>
  <c r="I13"/>
  <c r="I21"/>
  <c r="I24"/>
  <c r="I25"/>
  <c r="I20"/>
  <c r="I15"/>
  <c r="I32"/>
  <c r="I11"/>
  <c r="I27"/>
  <c r="I30"/>
  <c r="I14"/>
  <c r="I23"/>
  <c r="I19"/>
  <c r="L17" i="2"/>
  <c r="M17"/>
  <c r="D17"/>
  <c r="E17" s="1"/>
  <c r="D27"/>
  <c r="D12"/>
  <c r="D23"/>
  <c r="D9"/>
  <c r="D10"/>
  <c r="D11"/>
  <c r="D13"/>
  <c r="D14"/>
  <c r="D15"/>
  <c r="D16"/>
  <c r="D18"/>
  <c r="D19"/>
  <c r="D20"/>
  <c r="D21"/>
  <c r="D22"/>
  <c r="D24"/>
  <c r="D25"/>
  <c r="D26"/>
  <c r="D28"/>
  <c r="D29"/>
  <c r="D30"/>
  <c r="D31"/>
  <c r="E31" s="1"/>
  <c r="D32"/>
  <c r="E32" s="1"/>
  <c r="D33"/>
  <c r="D34"/>
  <c r="D35"/>
  <c r="D7"/>
  <c r="M22"/>
  <c r="L22"/>
  <c r="M7"/>
  <c r="N7" s="1"/>
  <c r="M28"/>
  <c r="L28"/>
  <c r="M27"/>
  <c r="L27"/>
  <c r="M26"/>
  <c r="L26"/>
  <c r="M25"/>
  <c r="L25"/>
  <c r="M24"/>
  <c r="L24"/>
  <c r="M23"/>
  <c r="L23"/>
  <c r="M21"/>
  <c r="L21"/>
  <c r="M20"/>
  <c r="L20"/>
  <c r="M19"/>
  <c r="L19"/>
  <c r="M18"/>
  <c r="L18"/>
  <c r="M16"/>
  <c r="L16"/>
  <c r="M15"/>
  <c r="L15"/>
  <c r="L12"/>
  <c r="N12" s="1"/>
  <c r="M11"/>
  <c r="L11"/>
  <c r="M10"/>
  <c r="L10"/>
  <c r="M9"/>
  <c r="L9"/>
  <c r="E11" i="3"/>
  <c r="I10"/>
  <c r="E19"/>
  <c r="E13"/>
  <c r="E14"/>
  <c r="E15"/>
  <c r="E16"/>
  <c r="E18"/>
  <c r="E20"/>
  <c r="E21"/>
  <c r="E22"/>
  <c r="E23"/>
  <c r="E24"/>
  <c r="E25"/>
  <c r="E26"/>
  <c r="E27"/>
  <c r="E28"/>
  <c r="E29"/>
  <c r="E30"/>
  <c r="E31"/>
  <c r="E32"/>
  <c r="E34"/>
  <c r="E35"/>
  <c r="E10"/>
  <c r="P10"/>
  <c r="E34" i="2" l="1"/>
  <c r="C34" i="22"/>
  <c r="E30" i="2"/>
  <c r="C30" i="22"/>
  <c r="E25" i="2"/>
  <c r="C25" i="22"/>
  <c r="E20" i="2"/>
  <c r="C20" i="22"/>
  <c r="D20" i="25"/>
  <c r="E15" i="2"/>
  <c r="C15" i="22"/>
  <c r="E10" i="2"/>
  <c r="C10" i="22"/>
  <c r="D10" i="25"/>
  <c r="E27" i="2"/>
  <c r="C27" i="22"/>
  <c r="D27" i="25"/>
  <c r="E26" i="2"/>
  <c r="D26" i="25"/>
  <c r="C26" i="22"/>
  <c r="E21" i="2"/>
  <c r="D21" i="25"/>
  <c r="C21" i="22"/>
  <c r="E16" i="2"/>
  <c r="D16" i="25"/>
  <c r="C16" i="22"/>
  <c r="E11" i="2"/>
  <c r="C11" i="22"/>
  <c r="D11" i="25"/>
  <c r="E12" i="2"/>
  <c r="D12" i="25"/>
  <c r="C12" i="22"/>
  <c r="E7" i="2"/>
  <c r="C7" i="22"/>
  <c r="E28" i="2"/>
  <c r="C28" i="22"/>
  <c r="E22" i="2"/>
  <c r="D22" i="25"/>
  <c r="C22" i="22"/>
  <c r="E18" i="2"/>
  <c r="C18" i="22"/>
  <c r="E13" i="2"/>
  <c r="D13" i="25"/>
  <c r="C13" i="22"/>
  <c r="E23" i="2"/>
  <c r="C23" i="22"/>
  <c r="E29" i="2"/>
  <c r="C29" i="22"/>
  <c r="E24" i="2"/>
  <c r="C24" i="22"/>
  <c r="D24" i="25"/>
  <c r="E19" i="2"/>
  <c r="C19" i="22"/>
  <c r="D19" i="25"/>
  <c r="E14" i="2"/>
  <c r="C14" i="22"/>
  <c r="D14" i="25"/>
  <c r="E9" i="2"/>
  <c r="D9" i="25"/>
  <c r="C9" i="22"/>
  <c r="D28" i="28"/>
  <c r="D22"/>
  <c r="D18"/>
  <c r="D13"/>
  <c r="D23"/>
  <c r="D24"/>
  <c r="D19"/>
  <c r="D14"/>
  <c r="D9"/>
  <c r="D25"/>
  <c r="D20"/>
  <c r="D15"/>
  <c r="D10"/>
  <c r="D27"/>
  <c r="D7"/>
  <c r="D26"/>
  <c r="D21"/>
  <c r="D16"/>
  <c r="D11"/>
  <c r="N10" i="2"/>
  <c r="N23"/>
  <c r="N9"/>
  <c r="S37" i="16"/>
  <c r="Q37"/>
  <c r="P38" s="1"/>
  <c r="F8" i="26"/>
  <c r="G8" s="1"/>
  <c r="G36" i="2"/>
  <c r="F36"/>
  <c r="D36"/>
  <c r="L36"/>
  <c r="M36"/>
  <c r="J36"/>
  <c r="J39" s="1"/>
  <c r="O36" i="3"/>
  <c r="N36"/>
  <c r="M36"/>
  <c r="D38" i="16"/>
  <c r="M38"/>
  <c r="F35" i="27"/>
  <c r="F7" i="26"/>
  <c r="E7"/>
  <c r="F6"/>
  <c r="G6" s="1"/>
  <c r="L36" i="3"/>
  <c r="N14" i="2"/>
  <c r="N19"/>
  <c r="H23"/>
  <c r="N25"/>
  <c r="N28"/>
  <c r="N11"/>
  <c r="N15"/>
  <c r="N20"/>
  <c r="N26"/>
  <c r="H7"/>
  <c r="H28"/>
  <c r="H15"/>
  <c r="H11"/>
  <c r="N16"/>
  <c r="N21"/>
  <c r="H29"/>
  <c r="H12"/>
  <c r="N22"/>
  <c r="N13"/>
  <c r="N18"/>
  <c r="N24"/>
  <c r="N27"/>
  <c r="H30"/>
  <c r="H13"/>
  <c r="H9"/>
  <c r="H14"/>
  <c r="H10"/>
  <c r="G38" i="16"/>
  <c r="I36" i="3"/>
  <c r="H19" i="2"/>
  <c r="H21"/>
  <c r="D36" i="3"/>
  <c r="H25" i="2"/>
  <c r="H20"/>
  <c r="H24"/>
  <c r="H18"/>
  <c r="H22"/>
  <c r="D36" i="28" l="1"/>
  <c r="M39" i="2"/>
  <c r="L39"/>
  <c r="H36"/>
  <c r="G38"/>
  <c r="H35" i="27"/>
  <c r="K36" i="2"/>
  <c r="K39" s="1"/>
  <c r="F36" i="22"/>
  <c r="I7" i="26" s="1"/>
  <c r="I36" i="25"/>
  <c r="G36" i="28"/>
  <c r="F38" i="2"/>
  <c r="C36" i="22"/>
  <c r="D36" i="25"/>
  <c r="E36" i="2"/>
  <c r="C35" i="27"/>
  <c r="E5" i="26"/>
  <c r="K5"/>
  <c r="D38" i="2"/>
  <c r="J5" i="26"/>
  <c r="F5"/>
  <c r="H5"/>
  <c r="C5"/>
  <c r="G7"/>
  <c r="E36" i="3"/>
  <c r="E9"/>
  <c r="P36"/>
  <c r="N36" i="2"/>
  <c r="N39" s="1"/>
  <c r="O39" l="1"/>
  <c r="H38"/>
  <c r="L5" i="26"/>
  <c r="G5"/>
  <c r="I9"/>
  <c r="I8"/>
  <c r="D8"/>
  <c r="D6" l="1"/>
  <c r="D7"/>
  <c r="D9"/>
  <c r="I6"/>
  <c r="I5"/>
  <c r="E38" i="2" l="1"/>
  <c r="D5" i="26" l="1"/>
</calcChain>
</file>

<file path=xl/sharedStrings.xml><?xml version="1.0" encoding="utf-8"?>
<sst xmlns="http://schemas.openxmlformats.org/spreadsheetml/2006/main" count="1017" uniqueCount="136">
  <si>
    <t>العدد</t>
  </si>
  <si>
    <t>المبالغ</t>
  </si>
  <si>
    <t>تونس 1</t>
  </si>
  <si>
    <t>تونس2</t>
  </si>
  <si>
    <t>أريانة</t>
  </si>
  <si>
    <t>بن عروس</t>
  </si>
  <si>
    <t>منوبة</t>
  </si>
  <si>
    <t>سوسة</t>
  </si>
  <si>
    <t>بنزرت</t>
  </si>
  <si>
    <t>نابل</t>
  </si>
  <si>
    <t>المنستير</t>
  </si>
  <si>
    <t>مدنين</t>
  </si>
  <si>
    <t>قابس</t>
  </si>
  <si>
    <t>باجة</t>
  </si>
  <si>
    <t>قفصة</t>
  </si>
  <si>
    <t>المهدية</t>
  </si>
  <si>
    <t>الكاف</t>
  </si>
  <si>
    <t>القيروان</t>
  </si>
  <si>
    <t>القصرين</t>
  </si>
  <si>
    <t>سيدي بوزيد</t>
  </si>
  <si>
    <t>زغوان</t>
  </si>
  <si>
    <t>جندوبة</t>
  </si>
  <si>
    <t>سليانة</t>
  </si>
  <si>
    <t>قبلي</t>
  </si>
  <si>
    <t>تطاوين</t>
  </si>
  <si>
    <t>توزر</t>
  </si>
  <si>
    <t>المبالغ المضمنة بقرارات التوظيف</t>
  </si>
  <si>
    <t>متابعة النزاع المتعلق بأساس الأداء في الطور الإستئنافي</t>
  </si>
  <si>
    <t>المبالغ  المحكوم بها إستئنافيا</t>
  </si>
  <si>
    <t>المبالغ المحكوم بها إستئنافيا</t>
  </si>
  <si>
    <t>المبالغ المحكوم بها إبتدائيا</t>
  </si>
  <si>
    <t>المبالغ  المحكوم بها إبتدائيا</t>
  </si>
  <si>
    <t>النسبة</t>
  </si>
  <si>
    <t>المبالغ المحكوم بها</t>
  </si>
  <si>
    <t>المجموع</t>
  </si>
  <si>
    <t>المراكز الجهوية لمراقبة الأداءات</t>
  </si>
  <si>
    <t>(1)</t>
  </si>
  <si>
    <t xml:space="preserve">النسبة </t>
  </si>
  <si>
    <t>مقارنة مع مجموع الأحكام الصادرة عن المحاكم الإبتدائية</t>
  </si>
  <si>
    <t>عدد القضايا المحكوم فيها</t>
  </si>
  <si>
    <t>عدد القضايا المنشورة</t>
  </si>
  <si>
    <t xml:space="preserve">المجموع </t>
  </si>
  <si>
    <t xml:space="preserve">طبيعة المخالفة </t>
  </si>
  <si>
    <t xml:space="preserve">عدد المخالفات التي تمت معاينتها </t>
  </si>
  <si>
    <t>عدد المخالفات التي تم إنهاؤها بالصلح</t>
  </si>
  <si>
    <t xml:space="preserve">عدد المخالفات التي تم في شانها إثارة الدعوى العمومية </t>
  </si>
  <si>
    <t xml:space="preserve">مخالفات موجبة لخطية مالية </t>
  </si>
  <si>
    <t>المخالفات المتعلقة بعدم التصريح بالأداء و دفعه</t>
  </si>
  <si>
    <t xml:space="preserve">المخالفات المتعلقة بالمحاسبة </t>
  </si>
  <si>
    <t>المخالفات المتعلقة بأعمال التحيل الجبائي</t>
  </si>
  <si>
    <t>المخالفات الجبائية الجزائية الأخرى</t>
  </si>
  <si>
    <t>ملحق عدد 8</t>
  </si>
  <si>
    <t xml:space="preserve">متابعة الأحكام الصادرة عن المحاكم الإبتدائية </t>
  </si>
  <si>
    <t xml:space="preserve">طبيعة قرار التوظيف </t>
  </si>
  <si>
    <t xml:space="preserve"> مراجعة أولية</t>
  </si>
  <si>
    <t xml:space="preserve"> مراجعة معمقة</t>
  </si>
  <si>
    <t>العدد الجملي</t>
  </si>
  <si>
    <t>المبلغ الجملي</t>
  </si>
  <si>
    <t>المبالغ المضمنة بقرار التوظيف</t>
  </si>
  <si>
    <t>الفترة</t>
  </si>
  <si>
    <t>ردود الإدارة على مستندات التعقيب</t>
  </si>
  <si>
    <t>مخالفات موجبة لخطية مالية وعقوبة بالسجن</t>
  </si>
  <si>
    <t>المخالفات المتعلقة بالفواتير وسندات المرور</t>
  </si>
  <si>
    <t xml:space="preserve">  المبالغ المستخلصة      </t>
  </si>
  <si>
    <t xml:space="preserve">وحدة المراقبة الوطنية </t>
  </si>
  <si>
    <t>إدارة المؤسسات الكبرى</t>
  </si>
  <si>
    <t>وحدة المراقبة الوطنية</t>
  </si>
  <si>
    <t>تونس3</t>
  </si>
  <si>
    <t>تونس 3</t>
  </si>
  <si>
    <t>ملحق عدد 9</t>
  </si>
  <si>
    <t>سنة 2012</t>
  </si>
  <si>
    <t>صفاقس1</t>
  </si>
  <si>
    <t>صفاقس2</t>
  </si>
  <si>
    <t>تونس 2</t>
  </si>
  <si>
    <t>سنة 2013</t>
  </si>
  <si>
    <t>صفاقس 1</t>
  </si>
  <si>
    <t>بحساب   الدينار</t>
  </si>
  <si>
    <t>بحساب الدينار</t>
  </si>
  <si>
    <t>الأحكام الصادرة عن المحاكم الإبتدائية</t>
  </si>
  <si>
    <t xml:space="preserve"> النزاع المتعلق بأساس الأداء في الطور الإبتدائي</t>
  </si>
  <si>
    <t>النسبة (1)</t>
  </si>
  <si>
    <t>عدم إيداع التصاريح  والعقود</t>
  </si>
  <si>
    <t xml:space="preserve">هيكلية قرارات التوظيف الإجباري للأداء الصادرة حسب طبيعة القرار </t>
  </si>
  <si>
    <t>المصلحة</t>
  </si>
  <si>
    <t>المبالغ الموظفة</t>
  </si>
  <si>
    <t>قرارات التوظيف الإجباري المحكوم بإلغائها</t>
  </si>
  <si>
    <t>قرارات التوظيف الإجباري المحكوم بتعديلها</t>
  </si>
  <si>
    <t>قرارات التوظيف الإجباري المحكوم بإقرارها</t>
  </si>
  <si>
    <t xml:space="preserve">المبالغ </t>
  </si>
  <si>
    <t>قرارات التوظيف الإجباري التي تم التصالح في شأنها</t>
  </si>
  <si>
    <t>قرارات التوظيف الإجباري للأداء المتصالح في شأنها</t>
  </si>
  <si>
    <t xml:space="preserve">المبالغ المتفق عليها </t>
  </si>
  <si>
    <t>ملحق عدد 10</t>
  </si>
  <si>
    <t xml:space="preserve">    متابعة المخالفات الجبائية الجزائية</t>
  </si>
  <si>
    <t>الابحاث</t>
  </si>
  <si>
    <t>ادارة المؤسسات</t>
  </si>
  <si>
    <t>ملحق عدد 7</t>
  </si>
  <si>
    <t>ملحق عدد 11</t>
  </si>
  <si>
    <t>مخزون الملفات في غرة جانفي</t>
  </si>
  <si>
    <t>الملفات الواردة على المصالح المركزية</t>
  </si>
  <si>
    <t>مجموع الملفات التي تمت دراستها</t>
  </si>
  <si>
    <t>الملفات التي تم في شأنها القيام بإجراءات التعقيب</t>
  </si>
  <si>
    <t>الملفات التي تقرر في شأنها عدم جدوى الطعن بالتعقيب</t>
  </si>
  <si>
    <t>عدد القرارت الصادرة عن المحكمة الإدارية</t>
  </si>
  <si>
    <t>عدد القرارات الصادرة لفائدة الإدارة</t>
  </si>
  <si>
    <t>عدد القرارات الصادرة لفائدة المطالب بالأداء</t>
  </si>
  <si>
    <t>عدد القضايا المحكوم فيها دون اعتبار الصلح</t>
  </si>
  <si>
    <t>القضايا المنشورة</t>
  </si>
  <si>
    <t>القضايا المحكوم فيها</t>
  </si>
  <si>
    <t>عدد القرارات المعترض عليها</t>
  </si>
  <si>
    <r>
      <t>النسبة</t>
    </r>
    <r>
      <rPr>
        <b/>
        <vertAlign val="superscript"/>
        <sz val="14"/>
        <rFont val="Arial"/>
        <family val="2"/>
      </rPr>
      <t xml:space="preserve"> (1)</t>
    </r>
  </si>
  <si>
    <r>
      <t>النسبة</t>
    </r>
    <r>
      <rPr>
        <b/>
        <vertAlign val="superscript"/>
        <sz val="14"/>
        <rFont val="Arial"/>
        <family val="2"/>
      </rPr>
      <t>(1)</t>
    </r>
  </si>
  <si>
    <t xml:space="preserve"> </t>
  </si>
  <si>
    <t>سنة 2014</t>
  </si>
  <si>
    <t xml:space="preserve">سنة 2014 </t>
  </si>
  <si>
    <t>متابعة نشر القضايا التعقيبية 2014</t>
  </si>
  <si>
    <t>نسبة القرارات التي تم اقرارها من القرارت التي تم الاعتراض عليها</t>
  </si>
  <si>
    <t>نسبة القرارات التي تم تعديلها من القرارت التي تم الاعتراض عليها</t>
  </si>
  <si>
    <t>نسبة القرارات التي تم التصالح في شأنها من القرارت التي تم الاعتراض عليها</t>
  </si>
  <si>
    <t>نسبة القرارات التي تم إلغاؤها من القرارت التي تم الاعتراض عليها</t>
  </si>
  <si>
    <t>متابعة القرارات الصادرة عن المحكمة الإدارية خلال سنة 2014</t>
  </si>
  <si>
    <t>ملحق عدد 8-1</t>
  </si>
  <si>
    <t>ملحق عدد 8-2</t>
  </si>
  <si>
    <t>ملحق عدد 8-3</t>
  </si>
  <si>
    <t>ملحق عدد 8-4</t>
  </si>
  <si>
    <t>ملحق عدد 8-5</t>
  </si>
  <si>
    <t>ملحق عدد 12</t>
  </si>
  <si>
    <t>مخالفات أخرى</t>
  </si>
  <si>
    <t>عدم دفع الأداء أو الخصوم للخزينة</t>
  </si>
  <si>
    <t>التنقيص في أرقم المعاملات</t>
  </si>
  <si>
    <t>أهم المخالفات التي تمت معاينتها</t>
  </si>
  <si>
    <t>المعدل العام للملفات لكل جلسة</t>
  </si>
  <si>
    <t>عدد الملفات المعروضة على اللجنة</t>
  </si>
  <si>
    <t>عدد الجلسات</t>
  </si>
  <si>
    <t>ملحق عدد 13</t>
  </si>
  <si>
    <t xml:space="preserve">      متابعة الملفات المتعلقة بالمخالفات الجبائية الجزائية        الموجبة لعقوبة بدنية
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</si>
</sst>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0.0%"/>
    <numFmt numFmtId="165" formatCode="#,##0.000"/>
    <numFmt numFmtId="166" formatCode="0.000"/>
    <numFmt numFmtId="167" formatCode="0.000%"/>
  </numFmts>
  <fonts count="50">
    <font>
      <sz val="10"/>
      <name val="Arial"/>
    </font>
    <font>
      <b/>
      <sz val="16"/>
      <name val="Arial"/>
      <family val="2"/>
    </font>
    <font>
      <b/>
      <sz val="25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20"/>
      <name val="Arial"/>
      <family val="2"/>
    </font>
    <font>
      <sz val="25"/>
      <name val="Arial"/>
      <family val="2"/>
    </font>
    <font>
      <b/>
      <sz val="30"/>
      <name val="Arial"/>
      <family val="2"/>
    </font>
    <font>
      <sz val="3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35"/>
      <name val="Arial"/>
      <family val="2"/>
    </font>
    <font>
      <b/>
      <sz val="28"/>
      <name val="Arial"/>
      <family val="2"/>
    </font>
    <font>
      <sz val="28"/>
      <name val="Arial"/>
      <family val="2"/>
    </font>
    <font>
      <sz val="35"/>
      <name val="Arial"/>
      <family val="2"/>
    </font>
    <font>
      <b/>
      <sz val="20"/>
      <name val="Arial"/>
      <family val="2"/>
    </font>
    <font>
      <b/>
      <sz val="21"/>
      <name val="Arial"/>
      <family val="2"/>
    </font>
    <font>
      <sz val="31"/>
      <name val="Arial"/>
      <family val="2"/>
    </font>
    <font>
      <b/>
      <sz val="31"/>
      <name val="Arial"/>
      <family val="2"/>
    </font>
    <font>
      <b/>
      <sz val="4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21"/>
      <name val="Arial"/>
      <family val="2"/>
    </font>
    <font>
      <b/>
      <sz val="45"/>
      <name val="Arial"/>
      <family val="2"/>
    </font>
    <font>
      <sz val="55"/>
      <name val="Arial"/>
      <family val="2"/>
    </font>
    <font>
      <b/>
      <sz val="32"/>
      <name val="Arial"/>
      <family val="2"/>
    </font>
    <font>
      <b/>
      <sz val="37"/>
      <name val="Arial"/>
      <family val="2"/>
    </font>
    <font>
      <sz val="14"/>
      <name val="Arial"/>
      <family val="2"/>
    </font>
    <font>
      <b/>
      <sz val="50"/>
      <name val="Arial"/>
      <family val="2"/>
    </font>
    <font>
      <b/>
      <sz val="55"/>
      <name val="Arial"/>
      <family val="2"/>
    </font>
    <font>
      <b/>
      <sz val="4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sz val="36"/>
      <name val="Arial"/>
      <family val="2"/>
    </font>
    <font>
      <sz val="12"/>
      <name val="Arial"/>
      <family val="2"/>
    </font>
    <font>
      <b/>
      <sz val="72"/>
      <name val="Arial"/>
      <family val="2"/>
    </font>
    <font>
      <sz val="72"/>
      <name val="Arial"/>
      <family val="2"/>
    </font>
    <font>
      <b/>
      <sz val="60"/>
      <name val="Arial"/>
      <family val="2"/>
    </font>
    <font>
      <sz val="24"/>
      <name val="Arial"/>
      <family val="2"/>
    </font>
    <font>
      <sz val="10"/>
      <name val="Arial"/>
      <family val="2"/>
    </font>
    <font>
      <b/>
      <sz val="44"/>
      <name val="Arial"/>
      <family val="2"/>
    </font>
    <font>
      <b/>
      <vertAlign val="superscript"/>
      <sz val="14"/>
      <name val="Arial"/>
      <family val="2"/>
    </font>
    <font>
      <sz val="26"/>
      <name val="Arial"/>
      <family val="2"/>
    </font>
    <font>
      <sz val="22"/>
      <name val="Arabic Transparent"/>
      <charset val="178"/>
    </font>
    <font>
      <b/>
      <sz val="26"/>
      <name val="Arial"/>
      <family val="2"/>
    </font>
    <font>
      <b/>
      <sz val="88"/>
      <name val="Arial"/>
      <family val="2"/>
    </font>
    <font>
      <b/>
      <sz val="10"/>
      <name val="Arial"/>
      <family val="2"/>
    </font>
    <font>
      <b/>
      <sz val="9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</fills>
  <borders count="6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43" fontId="41" fillId="0" borderId="0" applyFont="0" applyFill="0" applyBorder="0" applyAlignment="0" applyProtection="0"/>
    <xf numFmtId="0" fontId="32" fillId="0" borderId="0"/>
  </cellStyleXfs>
  <cellXfs count="462">
    <xf numFmtId="0" fontId="0" fillId="0" borderId="0" xfId="0"/>
    <xf numFmtId="4" fontId="0" fillId="0" borderId="0" xfId="0" applyNumberFormat="1"/>
    <xf numFmtId="0" fontId="8" fillId="0" borderId="0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4" fillId="0" borderId="0" xfId="0" applyFont="1"/>
    <xf numFmtId="0" fontId="0" fillId="0" borderId="0" xfId="0" applyAlignment="1">
      <alignment horizontal="center" vertical="center" wrapText="1"/>
    </xf>
    <xf numFmtId="0" fontId="20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165" fontId="26" fillId="0" borderId="0" xfId="0" applyNumberFormat="1" applyFont="1" applyFill="1" applyBorder="1" applyAlignment="1">
      <alignment horizontal="center" vertical="center"/>
    </xf>
    <xf numFmtId="0" fontId="5" fillId="0" borderId="0" xfId="0" applyFont="1"/>
    <xf numFmtId="165" fontId="16" fillId="0" borderId="4" xfId="0" applyNumberFormat="1" applyFont="1" applyBorder="1" applyAlignment="1">
      <alignment horizontal="center" vertical="center" wrapText="1"/>
    </xf>
    <xf numFmtId="3" fontId="23" fillId="0" borderId="12" xfId="0" applyNumberFormat="1" applyFont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15" xfId="0" applyNumberFormat="1" applyFont="1" applyBorder="1" applyAlignment="1">
      <alignment horizontal="center" vertical="center" wrapText="1"/>
    </xf>
    <xf numFmtId="3" fontId="23" fillId="0" borderId="16" xfId="0" applyNumberFormat="1" applyFont="1" applyBorder="1" applyAlignment="1">
      <alignment horizontal="center" vertical="center" wrapText="1"/>
    </xf>
    <xf numFmtId="3" fontId="23" fillId="2" borderId="17" xfId="0" applyNumberFormat="1" applyFont="1" applyFill="1" applyBorder="1" applyAlignment="1">
      <alignment horizontal="center" vertical="center" wrapText="1"/>
    </xf>
    <xf numFmtId="3" fontId="23" fillId="0" borderId="18" xfId="0" applyNumberFormat="1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center" vertical="center" wrapText="1"/>
    </xf>
    <xf numFmtId="3" fontId="23" fillId="0" borderId="19" xfId="0" applyNumberFormat="1" applyFont="1" applyBorder="1" applyAlignment="1">
      <alignment horizontal="center" vertical="center" wrapText="1"/>
    </xf>
    <xf numFmtId="4" fontId="23" fillId="0" borderId="15" xfId="0" applyNumberFormat="1" applyFont="1" applyBorder="1" applyAlignment="1">
      <alignment horizontal="center" vertical="center" wrapText="1"/>
    </xf>
    <xf numFmtId="3" fontId="23" fillId="2" borderId="14" xfId="0" applyNumberFormat="1" applyFont="1" applyFill="1" applyBorder="1" applyAlignment="1">
      <alignment horizontal="center" vertical="center" wrapText="1"/>
    </xf>
    <xf numFmtId="3" fontId="23" fillId="2" borderId="20" xfId="0" applyNumberFormat="1" applyFont="1" applyFill="1" applyBorder="1" applyAlignment="1">
      <alignment horizontal="center" vertical="center" wrapText="1"/>
    </xf>
    <xf numFmtId="4" fontId="23" fillId="0" borderId="17" xfId="0" applyNumberFormat="1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6" fontId="23" fillId="0" borderId="13" xfId="0" applyNumberFormat="1" applyFont="1" applyBorder="1" applyAlignment="1">
      <alignment horizontal="center" vertical="center" wrapText="1"/>
    </xf>
    <xf numFmtId="166" fontId="23" fillId="0" borderId="15" xfId="0" applyNumberFormat="1" applyFont="1" applyBorder="1" applyAlignment="1">
      <alignment horizontal="center" vertical="center" wrapText="1"/>
    </xf>
    <xf numFmtId="166" fontId="23" fillId="0" borderId="17" xfId="0" applyNumberFormat="1" applyFont="1" applyFill="1" applyBorder="1" applyAlignment="1">
      <alignment horizontal="center" vertical="center" wrapText="1"/>
    </xf>
    <xf numFmtId="166" fontId="16" fillId="0" borderId="4" xfId="0" applyNumberFormat="1" applyFont="1" applyBorder="1" applyAlignment="1">
      <alignment horizontal="center" vertical="center" wrapText="1"/>
    </xf>
    <xf numFmtId="165" fontId="13" fillId="0" borderId="11" xfId="0" applyNumberFormat="1" applyFont="1" applyFill="1" applyBorder="1" applyAlignment="1">
      <alignment horizontal="center" vertical="center"/>
    </xf>
    <xf numFmtId="165" fontId="23" fillId="0" borderId="13" xfId="0" applyNumberFormat="1" applyFont="1" applyBorder="1" applyAlignment="1">
      <alignment horizontal="center" vertical="center" wrapText="1"/>
    </xf>
    <xf numFmtId="165" fontId="23" fillId="0" borderId="15" xfId="0" applyNumberFormat="1" applyFont="1" applyBorder="1" applyAlignment="1">
      <alignment horizontal="center" vertical="center" wrapText="1"/>
    </xf>
    <xf numFmtId="165" fontId="23" fillId="0" borderId="17" xfId="0" applyNumberFormat="1" applyFont="1" applyFill="1" applyBorder="1" applyAlignment="1">
      <alignment horizontal="center" vertical="center" wrapText="1"/>
    </xf>
    <xf numFmtId="164" fontId="31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3" fontId="23" fillId="2" borderId="0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5" fontId="23" fillId="0" borderId="18" xfId="0" applyNumberFormat="1" applyFont="1" applyBorder="1" applyAlignment="1">
      <alignment horizontal="center" vertical="center" wrapText="1"/>
    </xf>
    <xf numFmtId="165" fontId="23" fillId="0" borderId="19" xfId="0" applyNumberFormat="1" applyFont="1" applyBorder="1" applyAlignment="1">
      <alignment horizontal="center" vertical="center" wrapText="1"/>
    </xf>
    <xf numFmtId="165" fontId="23" fillId="2" borderId="20" xfId="0" applyNumberFormat="1" applyFont="1" applyFill="1" applyBorder="1" applyAlignment="1">
      <alignment horizontal="center" vertical="center" wrapText="1"/>
    </xf>
    <xf numFmtId="165" fontId="16" fillId="0" borderId="6" xfId="0" applyNumberFormat="1" applyFont="1" applyBorder="1" applyAlignment="1">
      <alignment horizontal="center" vertical="center" wrapText="1"/>
    </xf>
    <xf numFmtId="165" fontId="16" fillId="0" borderId="3" xfId="0" applyNumberFormat="1" applyFont="1" applyBorder="1" applyAlignment="1">
      <alignment horizontal="center" vertical="center" wrapText="1"/>
    </xf>
    <xf numFmtId="0" fontId="0" fillId="0" borderId="0" xfId="0" applyFill="1"/>
    <xf numFmtId="0" fontId="27" fillId="0" borderId="0" xfId="0" applyFont="1" applyFill="1" applyAlignment="1">
      <alignment horizontal="right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165" fontId="0" fillId="0" borderId="0" xfId="0" applyNumberFormat="1" applyFill="1" applyAlignment="1">
      <alignment horizontal="right" vertical="center" wrapText="1"/>
    </xf>
    <xf numFmtId="164" fontId="0" fillId="0" borderId="0" xfId="0" applyNumberFormat="1" applyFill="1" applyAlignment="1">
      <alignment horizontal="right" vertical="center" wrapText="1"/>
    </xf>
    <xf numFmtId="165" fontId="0" fillId="0" borderId="0" xfId="0" applyNumberFormat="1" applyFill="1"/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65" fontId="26" fillId="0" borderId="0" xfId="0" applyNumberFormat="1" applyFont="1" applyFill="1" applyBorder="1" applyAlignment="1">
      <alignment vertical="center"/>
    </xf>
    <xf numFmtId="0" fontId="27" fillId="0" borderId="0" xfId="0" applyFont="1" applyFill="1"/>
    <xf numFmtId="3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164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6" fillId="0" borderId="0" xfId="0" applyFont="1" applyFill="1"/>
    <xf numFmtId="164" fontId="18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0" fillId="0" borderId="0" xfId="0" applyFill="1" applyBorder="1"/>
    <xf numFmtId="0" fontId="7" fillId="0" borderId="0" xfId="0" applyFont="1" applyFill="1" applyBorder="1" applyAlignment="1"/>
    <xf numFmtId="49" fontId="7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49" fontId="30" fillId="0" borderId="0" xfId="0" applyNumberFormat="1" applyFont="1" applyFill="1"/>
    <xf numFmtId="49" fontId="25" fillId="0" borderId="0" xfId="0" applyNumberFormat="1" applyFont="1" applyFill="1"/>
    <xf numFmtId="0" fontId="24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/>
    <xf numFmtId="49" fontId="24" fillId="0" borderId="0" xfId="0" applyNumberFormat="1" applyFont="1" applyFill="1" applyBorder="1"/>
    <xf numFmtId="49" fontId="13" fillId="0" borderId="0" xfId="0" applyNumberFormat="1" applyFont="1" applyFill="1"/>
    <xf numFmtId="3" fontId="8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>
      <alignment horizontal="right" vertical="center" wrapText="1"/>
    </xf>
    <xf numFmtId="164" fontId="1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164" fontId="13" fillId="0" borderId="0" xfId="0" applyNumberFormat="1" applyFont="1" applyFill="1"/>
    <xf numFmtId="0" fontId="24" fillId="0" borderId="0" xfId="0" applyFont="1" applyFill="1" applyBorder="1" applyAlignment="1">
      <alignment horizontal="center"/>
    </xf>
    <xf numFmtId="164" fontId="8" fillId="0" borderId="0" xfId="0" applyNumberFormat="1" applyFont="1" applyFill="1"/>
    <xf numFmtId="0" fontId="35" fillId="0" borderId="0" xfId="0" applyFont="1"/>
    <xf numFmtId="165" fontId="13" fillId="0" borderId="9" xfId="0" applyNumberFormat="1" applyFont="1" applyFill="1" applyBorder="1" applyAlignment="1">
      <alignment horizontal="center" vertical="center"/>
    </xf>
    <xf numFmtId="165" fontId="13" fillId="0" borderId="26" xfId="0" applyNumberFormat="1" applyFont="1" applyFill="1" applyBorder="1" applyAlignment="1">
      <alignment horizontal="center" vertical="center"/>
    </xf>
    <xf numFmtId="165" fontId="13" fillId="0" borderId="8" xfId="0" applyNumberFormat="1" applyFont="1" applyFill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32" xfId="0" applyNumberFormat="1" applyFont="1" applyBorder="1" applyAlignment="1">
      <alignment horizontal="center" vertical="center" wrapText="1"/>
    </xf>
    <xf numFmtId="165" fontId="13" fillId="4" borderId="9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/>
    <xf numFmtId="165" fontId="17" fillId="3" borderId="8" xfId="0" applyNumberFormat="1" applyFont="1" applyFill="1" applyBorder="1" applyAlignment="1">
      <alignment horizontal="center" vertical="center" wrapText="1"/>
    </xf>
    <xf numFmtId="166" fontId="17" fillId="3" borderId="8" xfId="0" applyNumberFormat="1" applyFont="1" applyFill="1" applyBorder="1" applyAlignment="1">
      <alignment horizontal="center" vertical="center" wrapText="1"/>
    </xf>
    <xf numFmtId="166" fontId="17" fillId="3" borderId="24" xfId="0" applyNumberFormat="1" applyFont="1" applyFill="1" applyBorder="1" applyAlignment="1">
      <alignment horizontal="center" vertical="center" wrapText="1"/>
    </xf>
    <xf numFmtId="165" fontId="17" fillId="3" borderId="9" xfId="0" applyNumberFormat="1" applyFont="1" applyFill="1" applyBorder="1" applyAlignment="1">
      <alignment horizontal="center" vertical="center" wrapText="1"/>
    </xf>
    <xf numFmtId="166" fontId="17" fillId="3" borderId="9" xfId="0" applyNumberFormat="1" applyFont="1" applyFill="1" applyBorder="1" applyAlignment="1">
      <alignment horizontal="center" vertical="center" wrapText="1"/>
    </xf>
    <xf numFmtId="166" fontId="17" fillId="3" borderId="10" xfId="0" applyNumberFormat="1" applyFont="1" applyFill="1" applyBorder="1" applyAlignment="1">
      <alignment horizontal="center" vertical="center" wrapText="1"/>
    </xf>
    <xf numFmtId="165" fontId="17" fillId="0" borderId="9" xfId="0" applyNumberFormat="1" applyFont="1" applyBorder="1" applyAlignment="1">
      <alignment horizontal="center" vertical="center" wrapText="1"/>
    </xf>
    <xf numFmtId="165" fontId="17" fillId="0" borderId="10" xfId="0" applyNumberFormat="1" applyFont="1" applyBorder="1" applyAlignment="1">
      <alignment horizontal="center" vertical="center" wrapText="1"/>
    </xf>
    <xf numFmtId="165" fontId="17" fillId="3" borderId="10" xfId="0" applyNumberFormat="1" applyFont="1" applyFill="1" applyBorder="1" applyAlignment="1">
      <alignment horizontal="center" vertical="center" wrapText="1"/>
    </xf>
    <xf numFmtId="165" fontId="17" fillId="4" borderId="9" xfId="0" applyNumberFormat="1" applyFont="1" applyFill="1" applyBorder="1" applyAlignment="1">
      <alignment horizontal="center" vertical="center" wrapText="1"/>
    </xf>
    <xf numFmtId="165" fontId="17" fillId="4" borderId="10" xfId="0" applyNumberFormat="1" applyFont="1" applyFill="1" applyBorder="1" applyAlignment="1">
      <alignment horizontal="center" vertical="center" wrapText="1"/>
    </xf>
    <xf numFmtId="166" fontId="17" fillId="0" borderId="9" xfId="0" applyNumberFormat="1" applyFont="1" applyBorder="1" applyAlignment="1">
      <alignment horizontal="center" vertical="center" wrapText="1"/>
    </xf>
    <xf numFmtId="166" fontId="17" fillId="0" borderId="10" xfId="0" applyNumberFormat="1" applyFont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horizontal="center" vertical="center" wrapText="1"/>
    </xf>
    <xf numFmtId="0" fontId="29" fillId="0" borderId="0" xfId="1" applyFont="1" applyFill="1" applyAlignment="1">
      <alignment vertical="center" wrapText="1"/>
    </xf>
    <xf numFmtId="0" fontId="28" fillId="0" borderId="0" xfId="0" applyFont="1" applyFill="1"/>
    <xf numFmtId="164" fontId="28" fillId="0" borderId="0" xfId="0" applyNumberFormat="1" applyFont="1" applyFill="1"/>
    <xf numFmtId="0" fontId="38" fillId="0" borderId="0" xfId="0" applyFont="1" applyFill="1"/>
    <xf numFmtId="3" fontId="38" fillId="0" borderId="0" xfId="0" applyNumberFormat="1" applyFont="1" applyFill="1"/>
    <xf numFmtId="4" fontId="38" fillId="0" borderId="0" xfId="0" applyNumberFormat="1" applyFont="1" applyFill="1"/>
    <xf numFmtId="164" fontId="38" fillId="0" borderId="0" xfId="0" applyNumberFormat="1" applyFont="1" applyFill="1"/>
    <xf numFmtId="164" fontId="37" fillId="0" borderId="0" xfId="0" applyNumberFormat="1" applyFont="1" applyFill="1" applyAlignment="1">
      <alignment horizontal="left"/>
    </xf>
    <xf numFmtId="4" fontId="37" fillId="0" borderId="0" xfId="0" applyNumberFormat="1" applyFont="1" applyFill="1" applyBorder="1" applyAlignment="1"/>
    <xf numFmtId="3" fontId="30" fillId="0" borderId="5" xfId="0" applyNumberFormat="1" applyFont="1" applyFill="1" applyBorder="1" applyAlignment="1">
      <alignment horizontal="center" vertical="center" wrapText="1"/>
    </xf>
    <xf numFmtId="10" fontId="30" fillId="0" borderId="5" xfId="0" applyNumberFormat="1" applyFont="1" applyFill="1" applyBorder="1" applyAlignment="1">
      <alignment horizontal="center" vertical="center" wrapText="1"/>
    </xf>
    <xf numFmtId="164" fontId="30" fillId="0" borderId="5" xfId="0" applyNumberFormat="1" applyFont="1" applyFill="1" applyBorder="1" applyAlignment="1">
      <alignment horizontal="center" vertical="center" wrapText="1"/>
    </xf>
    <xf numFmtId="0" fontId="36" fillId="0" borderId="0" xfId="0" applyFont="1" applyFill="1"/>
    <xf numFmtId="0" fontId="36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/>
    <xf numFmtId="0" fontId="28" fillId="0" borderId="0" xfId="0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/>
    <xf numFmtId="3" fontId="36" fillId="0" borderId="0" xfId="0" applyNumberFormat="1" applyFont="1" applyFill="1" applyBorder="1" applyAlignment="1">
      <alignment horizontal="center" vertical="center" wrapText="1"/>
    </xf>
    <xf numFmtId="4" fontId="36" fillId="0" borderId="0" xfId="0" applyNumberFormat="1" applyFont="1" applyFill="1" applyBorder="1" applyAlignment="1">
      <alignment horizontal="center" vertical="center" wrapText="1"/>
    </xf>
    <xf numFmtId="164" fontId="36" fillId="0" borderId="0" xfId="0" applyNumberFormat="1" applyFont="1" applyFill="1" applyBorder="1" applyAlignment="1">
      <alignment horizontal="center" vertical="center" wrapText="1"/>
    </xf>
    <xf numFmtId="164" fontId="36" fillId="0" borderId="0" xfId="0" applyNumberFormat="1" applyFont="1" applyFill="1"/>
    <xf numFmtId="3" fontId="33" fillId="0" borderId="0" xfId="0" applyNumberFormat="1" applyFont="1" applyFill="1" applyBorder="1" applyAlignment="1">
      <alignment vertical="center" wrapText="1"/>
    </xf>
    <xf numFmtId="49" fontId="36" fillId="0" borderId="0" xfId="0" applyNumberFormat="1" applyFont="1" applyFill="1" applyBorder="1" applyAlignment="1">
      <alignment horizontal="right" vertical="center" wrapText="1"/>
    </xf>
    <xf numFmtId="49" fontId="36" fillId="0" borderId="0" xfId="0" applyNumberFormat="1" applyFont="1" applyFill="1" applyBorder="1" applyAlignment="1">
      <alignment horizontal="left" vertical="center"/>
    </xf>
    <xf numFmtId="3" fontId="28" fillId="0" borderId="0" xfId="0" applyNumberFormat="1" applyFont="1" applyFill="1" applyBorder="1" applyAlignment="1">
      <alignment horizontal="center" vertical="center" wrapText="1"/>
    </xf>
    <xf numFmtId="4" fontId="28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left" vertical="center"/>
    </xf>
    <xf numFmtId="49" fontId="28" fillId="0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/>
    <xf numFmtId="0" fontId="10" fillId="0" borderId="0" xfId="0" applyFont="1" applyFill="1"/>
    <xf numFmtId="164" fontId="10" fillId="0" borderId="0" xfId="0" applyNumberFormat="1" applyFont="1" applyFill="1"/>
    <xf numFmtId="164" fontId="9" fillId="0" borderId="0" xfId="0" applyNumberFormat="1" applyFont="1" applyFill="1" applyAlignment="1">
      <alignment vertical="center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4" fontId="10" fillId="0" borderId="0" xfId="0" applyNumberFormat="1" applyFont="1" applyFill="1" applyBorder="1"/>
    <xf numFmtId="0" fontId="9" fillId="0" borderId="0" xfId="0" applyFont="1" applyFill="1" applyBorder="1" applyAlignment="1"/>
    <xf numFmtId="0" fontId="9" fillId="0" borderId="0" xfId="0" applyFont="1" applyFill="1" applyAlignment="1">
      <alignment horizontal="right" vertical="center" wrapText="1"/>
    </xf>
    <xf numFmtId="164" fontId="10" fillId="0" borderId="0" xfId="0" applyNumberFormat="1" applyFont="1" applyFill="1" applyAlignment="1">
      <alignment horizontal="center" vertical="center" wrapText="1"/>
    </xf>
    <xf numFmtId="0" fontId="25" fillId="0" borderId="0" xfId="0" applyFont="1" applyFill="1"/>
    <xf numFmtId="0" fontId="30" fillId="0" borderId="0" xfId="0" applyFont="1" applyFill="1" applyBorder="1" applyAlignment="1">
      <alignment horizontal="center" vertical="center" wrapText="1"/>
    </xf>
    <xf numFmtId="3" fontId="30" fillId="0" borderId="0" xfId="0" applyNumberFormat="1" applyFont="1" applyFill="1" applyBorder="1" applyAlignment="1">
      <alignment horizontal="center" vertical="center" wrapText="1"/>
    </xf>
    <xf numFmtId="165" fontId="30" fillId="0" borderId="0" xfId="0" applyNumberFormat="1" applyFont="1" applyFill="1" applyBorder="1" applyAlignment="1">
      <alignment horizontal="center" vertical="center"/>
    </xf>
    <xf numFmtId="165" fontId="30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10" fontId="0" fillId="0" borderId="0" xfId="0" applyNumberFormat="1"/>
    <xf numFmtId="10" fontId="13" fillId="0" borderId="0" xfId="0" applyNumberFormat="1" applyFont="1"/>
    <xf numFmtId="3" fontId="20" fillId="0" borderId="36" xfId="0" applyNumberFormat="1" applyFont="1" applyFill="1" applyBorder="1" applyAlignment="1">
      <alignment vertical="center" wrapText="1"/>
    </xf>
    <xf numFmtId="0" fontId="0" fillId="3" borderId="0" xfId="0" applyFill="1"/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40" fillId="0" borderId="0" xfId="0" applyFont="1"/>
    <xf numFmtId="3" fontId="23" fillId="0" borderId="30" xfId="0" applyNumberFormat="1" applyFont="1" applyBorder="1" applyAlignment="1">
      <alignment horizontal="center" vertical="center" wrapText="1"/>
    </xf>
    <xf numFmtId="3" fontId="23" fillId="0" borderId="30" xfId="0" applyNumberFormat="1" applyFont="1" applyFill="1" applyBorder="1" applyAlignment="1">
      <alignment horizontal="center" vertical="center" wrapText="1"/>
    </xf>
    <xf numFmtId="3" fontId="34" fillId="0" borderId="30" xfId="0" applyNumberFormat="1" applyFont="1" applyBorder="1" applyAlignment="1">
      <alignment horizontal="center" vertical="center" wrapText="1"/>
    </xf>
    <xf numFmtId="0" fontId="40" fillId="5" borderId="0" xfId="0" applyFont="1" applyFill="1"/>
    <xf numFmtId="0" fontId="28" fillId="0" borderId="37" xfId="0" applyFont="1" applyBorder="1"/>
    <xf numFmtId="0" fontId="21" fillId="0" borderId="0" xfId="0" applyFont="1"/>
    <xf numFmtId="0" fontId="1" fillId="0" borderId="5" xfId="0" applyFont="1" applyBorder="1"/>
    <xf numFmtId="3" fontId="40" fillId="0" borderId="0" xfId="0" applyNumberFormat="1" applyFont="1"/>
    <xf numFmtId="165" fontId="30" fillId="0" borderId="5" xfId="0" applyNumberFormat="1" applyFont="1" applyFill="1" applyBorder="1" applyAlignment="1">
      <alignment horizontal="center" vertical="center" wrapText="1"/>
    </xf>
    <xf numFmtId="3" fontId="23" fillId="0" borderId="12" xfId="0" applyNumberFormat="1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10" fontId="20" fillId="0" borderId="36" xfId="5" applyNumberFormat="1" applyFont="1" applyFill="1" applyBorder="1" applyAlignment="1">
      <alignment vertical="center" wrapText="1"/>
    </xf>
    <xf numFmtId="3" fontId="20" fillId="0" borderId="36" xfId="0" applyNumberFormat="1" applyFont="1" applyFill="1" applyBorder="1" applyAlignment="1">
      <alignment horizontal="right" vertical="center" wrapText="1"/>
    </xf>
    <xf numFmtId="164" fontId="31" fillId="0" borderId="0" xfId="0" applyNumberFormat="1" applyFont="1" applyFill="1" applyAlignment="1">
      <alignment horizontal="center" vertical="center" wrapText="1"/>
    </xf>
    <xf numFmtId="0" fontId="37" fillId="0" borderId="0" xfId="1" applyFont="1" applyFill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left" vertical="center" wrapText="1"/>
    </xf>
    <xf numFmtId="164" fontId="25" fillId="0" borderId="0" xfId="0" applyNumberFormat="1" applyFont="1" applyFill="1" applyAlignment="1">
      <alignment horizontal="right" vertical="center" wrapText="1"/>
    </xf>
    <xf numFmtId="3" fontId="25" fillId="0" borderId="0" xfId="0" applyNumberFormat="1" applyFont="1" applyFill="1"/>
    <xf numFmtId="4" fontId="25" fillId="0" borderId="0" xfId="0" applyNumberFormat="1" applyFont="1" applyFill="1"/>
    <xf numFmtId="164" fontId="25" fillId="0" borderId="0" xfId="0" applyNumberFormat="1" applyFont="1" applyFill="1"/>
    <xf numFmtId="165" fontId="30" fillId="0" borderId="5" xfId="0" applyNumberFormat="1" applyFont="1" applyFill="1" applyBorder="1" applyAlignment="1">
      <alignment vertical="center" wrapText="1"/>
    </xf>
    <xf numFmtId="0" fontId="38" fillId="0" borderId="0" xfId="0" applyFont="1"/>
    <xf numFmtId="165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vertical="center" wrapText="1"/>
    </xf>
    <xf numFmtId="0" fontId="36" fillId="0" borderId="28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3" fontId="20" fillId="0" borderId="5" xfId="0" applyNumberFormat="1" applyFont="1" applyFill="1" applyBorder="1" applyAlignment="1">
      <alignment vertical="center" wrapText="1"/>
    </xf>
    <xf numFmtId="165" fontId="20" fillId="0" borderId="5" xfId="0" applyNumberFormat="1" applyFont="1" applyFill="1" applyBorder="1" applyAlignment="1">
      <alignment vertical="center" wrapText="1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4" fontId="20" fillId="0" borderId="5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/>
    </xf>
    <xf numFmtId="0" fontId="33" fillId="0" borderId="5" xfId="0" applyFont="1" applyFill="1" applyBorder="1" applyAlignment="1">
      <alignment horizontal="center" vertical="center" wrapText="1"/>
    </xf>
    <xf numFmtId="3" fontId="33" fillId="0" borderId="5" xfId="0" applyNumberFormat="1" applyFont="1" applyFill="1" applyBorder="1" applyAlignment="1">
      <alignment horizontal="center" vertical="center" wrapText="1"/>
    </xf>
    <xf numFmtId="4" fontId="33" fillId="0" borderId="5" xfId="0" applyNumberFormat="1" applyFont="1" applyFill="1" applyBorder="1" applyAlignment="1">
      <alignment horizontal="center" vertical="center" wrapText="1"/>
    </xf>
    <xf numFmtId="3" fontId="33" fillId="0" borderId="5" xfId="0" applyNumberFormat="1" applyFont="1" applyFill="1" applyBorder="1" applyAlignment="1">
      <alignment vertical="center" wrapText="1"/>
    </xf>
    <xf numFmtId="165" fontId="33" fillId="0" borderId="5" xfId="0" applyNumberFormat="1" applyFont="1" applyFill="1" applyBorder="1" applyAlignment="1">
      <alignment vertical="center" wrapText="1"/>
    </xf>
    <xf numFmtId="0" fontId="36" fillId="0" borderId="27" xfId="0" applyFont="1" applyFill="1" applyBorder="1" applyAlignment="1">
      <alignment horizontal="center" vertical="center" wrapText="1"/>
    </xf>
    <xf numFmtId="0" fontId="36" fillId="0" borderId="29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right" vertical="center"/>
    </xf>
    <xf numFmtId="0" fontId="28" fillId="0" borderId="28" xfId="0" applyFont="1" applyFill="1" applyBorder="1" applyAlignment="1">
      <alignment horizontal="right" vertical="center" wrapText="1"/>
    </xf>
    <xf numFmtId="10" fontId="20" fillId="0" borderId="5" xfId="0" applyNumberFormat="1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3" fontId="1" fillId="0" borderId="28" xfId="0" applyNumberFormat="1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right" vertical="center" wrapText="1"/>
    </xf>
    <xf numFmtId="10" fontId="1" fillId="0" borderId="28" xfId="0" applyNumberFormat="1" applyFont="1" applyFill="1" applyBorder="1" applyAlignment="1">
      <alignment horizontal="center" vertical="center" wrapText="1"/>
    </xf>
    <xf numFmtId="165" fontId="1" fillId="0" borderId="28" xfId="0" applyNumberFormat="1" applyFont="1" applyFill="1" applyBorder="1" applyAlignment="1">
      <alignment horizontal="center" vertical="center" wrapText="1"/>
    </xf>
    <xf numFmtId="3" fontId="21" fillId="0" borderId="28" xfId="0" applyNumberFormat="1" applyFont="1" applyFill="1" applyBorder="1" applyAlignment="1">
      <alignment horizontal="center" vertical="center" wrapText="1"/>
    </xf>
    <xf numFmtId="10" fontId="21" fillId="0" borderId="28" xfId="0" applyNumberFormat="1" applyFont="1" applyFill="1" applyBorder="1" applyAlignment="1">
      <alignment horizontal="center" vertical="center" wrapText="1"/>
    </xf>
    <xf numFmtId="165" fontId="21" fillId="0" borderId="28" xfId="0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right" vertical="center" wrapText="1"/>
    </xf>
    <xf numFmtId="3" fontId="21" fillId="0" borderId="29" xfId="0" applyNumberFormat="1" applyFont="1" applyFill="1" applyBorder="1" applyAlignment="1">
      <alignment horizontal="center" vertical="center" wrapText="1"/>
    </xf>
    <xf numFmtId="10" fontId="21" fillId="0" borderId="29" xfId="0" applyNumberFormat="1" applyFont="1" applyFill="1" applyBorder="1" applyAlignment="1">
      <alignment horizontal="center" vertical="center" wrapText="1"/>
    </xf>
    <xf numFmtId="165" fontId="21" fillId="0" borderId="29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3" fontId="39" fillId="0" borderId="5" xfId="0" applyNumberFormat="1" applyFont="1" applyFill="1" applyBorder="1" applyAlignment="1">
      <alignment horizontal="center" vertical="center" wrapText="1"/>
    </xf>
    <xf numFmtId="4" fontId="39" fillId="0" borderId="5" xfId="0" applyNumberFormat="1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11" fillId="0" borderId="5" xfId="3" applyFont="1" applyBorder="1" applyAlignment="1">
      <alignment vertical="center" wrapText="1"/>
    </xf>
    <xf numFmtId="0" fontId="11" fillId="0" borderId="5" xfId="4" applyFont="1" applyBorder="1" applyAlignment="1">
      <alignment vertical="center" wrapText="1"/>
    </xf>
    <xf numFmtId="10" fontId="1" fillId="0" borderId="5" xfId="0" applyNumberFormat="1" applyFont="1" applyFill="1" applyBorder="1" applyAlignment="1">
      <alignment vertical="center" wrapText="1"/>
    </xf>
    <xf numFmtId="3" fontId="30" fillId="0" borderId="5" xfId="0" applyNumberFormat="1" applyFont="1" applyFill="1" applyBorder="1" applyAlignment="1">
      <alignment horizontal="center" vertical="center" wrapText="1"/>
    </xf>
    <xf numFmtId="0" fontId="44" fillId="0" borderId="0" xfId="0" applyFont="1"/>
    <xf numFmtId="165" fontId="0" fillId="0" borderId="0" xfId="0" applyNumberFormat="1"/>
    <xf numFmtId="0" fontId="30" fillId="0" borderId="5" xfId="0" applyFont="1" applyFill="1" applyBorder="1" applyAlignment="1">
      <alignment horizontal="center" vertical="center"/>
    </xf>
    <xf numFmtId="3" fontId="30" fillId="0" borderId="5" xfId="0" applyNumberFormat="1" applyFont="1" applyFill="1" applyBorder="1" applyAlignment="1">
      <alignment horizontal="center" vertical="center" wrapText="1"/>
    </xf>
    <xf numFmtId="165" fontId="30" fillId="0" borderId="5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/>
    <xf numFmtId="165" fontId="0" fillId="0" borderId="0" xfId="0" applyNumberFormat="1" applyFill="1" applyBorder="1"/>
    <xf numFmtId="3" fontId="0" fillId="0" borderId="0" xfId="0" applyNumberFormat="1" applyAlignment="1">
      <alignment horizontal="center" vertical="center" wrapText="1"/>
    </xf>
    <xf numFmtId="3" fontId="21" fillId="0" borderId="43" xfId="0" applyNumberFormat="1" applyFont="1" applyFill="1" applyBorder="1" applyAlignment="1">
      <alignment horizontal="center" vertical="center"/>
    </xf>
    <xf numFmtId="164" fontId="21" fillId="0" borderId="35" xfId="0" applyNumberFormat="1" applyFont="1" applyFill="1" applyBorder="1" applyAlignment="1">
      <alignment horizontal="center" vertical="center" wrapText="1"/>
    </xf>
    <xf numFmtId="164" fontId="21" fillId="0" borderId="44" xfId="0" applyNumberFormat="1" applyFont="1" applyFill="1" applyBorder="1" applyAlignment="1">
      <alignment horizontal="center" vertical="center" wrapText="1"/>
    </xf>
    <xf numFmtId="164" fontId="36" fillId="0" borderId="35" xfId="0" applyNumberFormat="1" applyFont="1" applyFill="1" applyBorder="1" applyAlignment="1">
      <alignment vertical="center" wrapText="1"/>
    </xf>
    <xf numFmtId="164" fontId="28" fillId="0" borderId="35" xfId="0" applyNumberFormat="1" applyFont="1" applyFill="1" applyBorder="1" applyAlignment="1">
      <alignment vertical="center" wrapText="1"/>
    </xf>
    <xf numFmtId="164" fontId="28" fillId="0" borderId="44" xfId="0" applyNumberFormat="1" applyFont="1" applyFill="1" applyBorder="1" applyAlignment="1">
      <alignment vertical="center" wrapText="1"/>
    </xf>
    <xf numFmtId="3" fontId="28" fillId="0" borderId="46" xfId="0" applyNumberFormat="1" applyFont="1" applyFill="1" applyBorder="1" applyAlignment="1">
      <alignment vertical="center"/>
    </xf>
    <xf numFmtId="164" fontId="28" fillId="0" borderId="47" xfId="0" applyNumberFormat="1" applyFont="1" applyFill="1" applyBorder="1" applyAlignment="1">
      <alignment vertical="center" wrapText="1"/>
    </xf>
    <xf numFmtId="165" fontId="28" fillId="0" borderId="47" xfId="0" applyNumberFormat="1" applyFont="1" applyFill="1" applyBorder="1" applyAlignment="1">
      <alignment vertical="center"/>
    </xf>
    <xf numFmtId="164" fontId="28" fillId="0" borderId="48" xfId="0" applyNumberFormat="1" applyFont="1" applyFill="1" applyBorder="1" applyAlignment="1">
      <alignment vertical="center" wrapText="1"/>
    </xf>
    <xf numFmtId="3" fontId="28" fillId="0" borderId="43" xfId="0" applyNumberFormat="1" applyFont="1" applyFill="1" applyBorder="1" applyAlignment="1">
      <alignment horizontal="right" vertical="center"/>
    </xf>
    <xf numFmtId="165" fontId="30" fillId="0" borderId="5" xfId="0" applyNumberFormat="1" applyFont="1" applyFill="1" applyBorder="1" applyAlignment="1">
      <alignment horizontal="center" vertical="center" wrapText="1"/>
    </xf>
    <xf numFmtId="10" fontId="0" fillId="0" borderId="0" xfId="0" applyNumberFormat="1" applyFill="1"/>
    <xf numFmtId="10" fontId="21" fillId="0" borderId="35" xfId="0" applyNumberFormat="1" applyFont="1" applyFill="1" applyBorder="1" applyAlignment="1">
      <alignment horizontal="center" vertical="center" wrapText="1"/>
    </xf>
    <xf numFmtId="165" fontId="21" fillId="0" borderId="35" xfId="0" applyNumberFormat="1" applyFont="1" applyFill="1" applyBorder="1" applyAlignment="1">
      <alignment horizontal="right" vertical="center"/>
    </xf>
    <xf numFmtId="165" fontId="21" fillId="0" borderId="50" xfId="0" applyNumberFormat="1" applyFont="1" applyFill="1" applyBorder="1" applyAlignment="1">
      <alignment horizontal="right" vertical="center"/>
    </xf>
    <xf numFmtId="164" fontId="21" fillId="0" borderId="38" xfId="0" applyNumberFormat="1" applyFont="1" applyFill="1" applyBorder="1" applyAlignment="1">
      <alignment horizontal="center" vertical="center" wrapText="1"/>
    </xf>
    <xf numFmtId="3" fontId="28" fillId="0" borderId="51" xfId="0" applyNumberFormat="1" applyFont="1" applyFill="1" applyBorder="1" applyAlignment="1">
      <alignment horizontal="right" vertical="center"/>
    </xf>
    <xf numFmtId="164" fontId="28" fillId="0" borderId="38" xfId="0" applyNumberFormat="1" applyFont="1" applyFill="1" applyBorder="1" applyAlignment="1">
      <alignment vertical="center" wrapText="1"/>
    </xf>
    <xf numFmtId="165" fontId="28" fillId="0" borderId="38" xfId="0" applyNumberFormat="1" applyFont="1" applyFill="1" applyBorder="1" applyAlignment="1">
      <alignment vertical="center" wrapText="1"/>
    </xf>
    <xf numFmtId="3" fontId="36" fillId="0" borderId="38" xfId="0" applyNumberFormat="1" applyFont="1" applyFill="1" applyBorder="1" applyAlignment="1">
      <alignment horizontal="center" vertical="center"/>
    </xf>
    <xf numFmtId="165" fontId="28" fillId="0" borderId="52" xfId="0" applyNumberFormat="1" applyFont="1" applyFill="1" applyBorder="1" applyAlignment="1">
      <alignment vertical="center" wrapText="1"/>
    </xf>
    <xf numFmtId="165" fontId="28" fillId="0" borderId="35" xfId="0" applyNumberFormat="1" applyFont="1" applyFill="1" applyBorder="1" applyAlignment="1">
      <alignment vertical="center" wrapText="1"/>
    </xf>
    <xf numFmtId="3" fontId="36" fillId="0" borderId="35" xfId="0" applyNumberFormat="1" applyFont="1" applyFill="1" applyBorder="1" applyAlignment="1">
      <alignment horizontal="center" vertical="center"/>
    </xf>
    <xf numFmtId="165" fontId="28" fillId="0" borderId="53" xfId="0" applyNumberFormat="1" applyFont="1" applyFill="1" applyBorder="1" applyAlignment="1">
      <alignment vertical="center" wrapText="1"/>
    </xf>
    <xf numFmtId="167" fontId="28" fillId="0" borderId="35" xfId="0" applyNumberFormat="1" applyFont="1" applyFill="1" applyBorder="1" applyAlignment="1">
      <alignment vertical="center" wrapText="1"/>
    </xf>
    <xf numFmtId="164" fontId="28" fillId="0" borderId="50" xfId="0" applyNumberFormat="1" applyFont="1" applyFill="1" applyBorder="1" applyAlignment="1">
      <alignment vertical="center" wrapText="1"/>
    </xf>
    <xf numFmtId="165" fontId="28" fillId="0" borderId="50" xfId="0" applyNumberFormat="1" applyFont="1" applyFill="1" applyBorder="1" applyAlignment="1">
      <alignment vertical="center" wrapText="1"/>
    </xf>
    <xf numFmtId="3" fontId="36" fillId="0" borderId="50" xfId="0" applyNumberFormat="1" applyFont="1" applyFill="1" applyBorder="1" applyAlignment="1">
      <alignment horizontal="center" vertical="center"/>
    </xf>
    <xf numFmtId="165" fontId="28" fillId="0" borderId="54" xfId="0" applyNumberFormat="1" applyFont="1" applyFill="1" applyBorder="1" applyAlignment="1">
      <alignment vertical="center" wrapText="1"/>
    </xf>
    <xf numFmtId="0" fontId="25" fillId="0" borderId="55" xfId="0" applyFont="1" applyFill="1" applyBorder="1" applyAlignment="1">
      <alignment horizontal="right" vertical="center" wrapText="1"/>
    </xf>
    <xf numFmtId="3" fontId="25" fillId="0" borderId="55" xfId="0" applyNumberFormat="1" applyFont="1" applyFill="1" applyBorder="1" applyAlignment="1">
      <alignment horizontal="center" vertical="center" wrapText="1"/>
    </xf>
    <xf numFmtId="164" fontId="25" fillId="0" borderId="55" xfId="0" applyNumberFormat="1" applyFont="1" applyFill="1" applyBorder="1" applyAlignment="1">
      <alignment horizontal="center" vertical="center" wrapText="1"/>
    </xf>
    <xf numFmtId="166" fontId="25" fillId="0" borderId="55" xfId="0" applyNumberFormat="1" applyFont="1" applyFill="1" applyBorder="1" applyAlignment="1">
      <alignment vertical="center" wrapText="1"/>
    </xf>
    <xf numFmtId="0" fontId="25" fillId="0" borderId="56" xfId="0" applyFont="1" applyFill="1" applyBorder="1" applyAlignment="1">
      <alignment horizontal="right" vertical="center" wrapText="1"/>
    </xf>
    <xf numFmtId="3" fontId="25" fillId="0" borderId="56" xfId="0" applyNumberFormat="1" applyFont="1" applyFill="1" applyBorder="1" applyAlignment="1">
      <alignment horizontal="center" vertical="center" wrapText="1"/>
    </xf>
    <xf numFmtId="164" fontId="25" fillId="0" borderId="56" xfId="0" applyNumberFormat="1" applyFont="1" applyFill="1" applyBorder="1" applyAlignment="1">
      <alignment horizontal="center" vertical="center" wrapText="1"/>
    </xf>
    <xf numFmtId="166" fontId="25" fillId="0" borderId="56" xfId="0" applyNumberFormat="1" applyFont="1" applyFill="1" applyBorder="1" applyAlignment="1">
      <alignment vertical="center" wrapText="1"/>
    </xf>
    <xf numFmtId="0" fontId="25" fillId="0" borderId="56" xfId="0" applyFont="1" applyFill="1" applyBorder="1" applyAlignment="1">
      <alignment horizontal="center" vertical="center"/>
    </xf>
    <xf numFmtId="165" fontId="25" fillId="0" borderId="56" xfId="0" applyNumberFormat="1" applyFont="1" applyFill="1" applyBorder="1" applyAlignment="1">
      <alignment vertical="center" wrapText="1"/>
    </xf>
    <xf numFmtId="0" fontId="25" fillId="0" borderId="57" xfId="0" applyFont="1" applyFill="1" applyBorder="1" applyAlignment="1">
      <alignment horizontal="center" vertical="center"/>
    </xf>
    <xf numFmtId="3" fontId="25" fillId="0" borderId="57" xfId="0" applyNumberFormat="1" applyFont="1" applyFill="1" applyBorder="1" applyAlignment="1">
      <alignment horizontal="center" vertical="center" wrapText="1"/>
    </xf>
    <xf numFmtId="164" fontId="25" fillId="0" borderId="57" xfId="0" applyNumberFormat="1" applyFont="1" applyFill="1" applyBorder="1" applyAlignment="1">
      <alignment horizontal="center" vertical="center" wrapText="1"/>
    </xf>
    <xf numFmtId="166" fontId="25" fillId="0" borderId="57" xfId="0" applyNumberFormat="1" applyFont="1" applyFill="1" applyBorder="1" applyAlignment="1">
      <alignment vertical="center" wrapText="1"/>
    </xf>
    <xf numFmtId="165" fontId="25" fillId="0" borderId="57" xfId="0" applyNumberFormat="1" applyFont="1" applyFill="1" applyBorder="1" applyAlignment="1">
      <alignment vertical="center" wrapText="1"/>
    </xf>
    <xf numFmtId="10" fontId="33" fillId="0" borderId="5" xfId="0" applyNumberFormat="1" applyFont="1" applyFill="1" applyBorder="1" applyAlignment="1">
      <alignment vertical="center" wrapText="1"/>
    </xf>
    <xf numFmtId="3" fontId="36" fillId="0" borderId="37" xfId="0" applyNumberFormat="1" applyFont="1" applyFill="1" applyBorder="1" applyAlignment="1">
      <alignment horizontal="right" vertical="center"/>
    </xf>
    <xf numFmtId="164" fontId="36" fillId="0" borderId="38" xfId="0" applyNumberFormat="1" applyFont="1" applyFill="1" applyBorder="1" applyAlignment="1">
      <alignment vertical="center" wrapText="1"/>
    </xf>
    <xf numFmtId="165" fontId="36" fillId="0" borderId="52" xfId="0" applyNumberFormat="1" applyFont="1" applyFill="1" applyBorder="1" applyAlignment="1">
      <alignment vertical="center" wrapText="1"/>
    </xf>
    <xf numFmtId="3" fontId="36" fillId="0" borderId="7" xfId="0" applyNumberFormat="1" applyFont="1" applyFill="1" applyBorder="1" applyAlignment="1">
      <alignment horizontal="right" vertical="center"/>
    </xf>
    <xf numFmtId="165" fontId="36" fillId="0" borderId="53" xfId="0" applyNumberFormat="1" applyFont="1" applyFill="1" applyBorder="1" applyAlignment="1">
      <alignment vertical="center" wrapText="1"/>
    </xf>
    <xf numFmtId="3" fontId="36" fillId="0" borderId="58" xfId="0" applyNumberFormat="1" applyFont="1" applyFill="1" applyBorder="1" applyAlignment="1">
      <alignment horizontal="right" vertical="center"/>
    </xf>
    <xf numFmtId="164" fontId="36" fillId="0" borderId="50" xfId="0" applyNumberFormat="1" applyFont="1" applyFill="1" applyBorder="1" applyAlignment="1">
      <alignment vertical="center" wrapText="1"/>
    </xf>
    <xf numFmtId="165" fontId="36" fillId="0" borderId="54" xfId="0" applyNumberFormat="1" applyFont="1" applyFill="1" applyBorder="1" applyAlignment="1">
      <alignment vertical="center" wrapText="1"/>
    </xf>
    <xf numFmtId="3" fontId="36" fillId="0" borderId="59" xfId="0" applyNumberFormat="1" applyFont="1" applyFill="1" applyBorder="1" applyAlignment="1">
      <alignment horizontal="center" vertical="center"/>
    </xf>
    <xf numFmtId="3" fontId="36" fillId="0" borderId="45" xfId="0" applyNumberFormat="1" applyFont="1" applyFill="1" applyBorder="1" applyAlignment="1">
      <alignment horizontal="center" vertical="center"/>
    </xf>
    <xf numFmtId="3" fontId="36" fillId="0" borderId="60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vertical="center" wrapText="1"/>
    </xf>
    <xf numFmtId="49" fontId="32" fillId="0" borderId="0" xfId="0" applyNumberFormat="1" applyFont="1" applyAlignment="1">
      <alignment vertical="center"/>
    </xf>
    <xf numFmtId="0" fontId="36" fillId="0" borderId="28" xfId="0" applyFont="1" applyFill="1" applyBorder="1" applyAlignment="1">
      <alignment horizontal="right" vertical="center" wrapText="1"/>
    </xf>
    <xf numFmtId="0" fontId="31" fillId="0" borderId="55" xfId="0" applyFont="1" applyFill="1" applyBorder="1" applyAlignment="1">
      <alignment horizontal="center" vertical="center" wrapText="1"/>
    </xf>
    <xf numFmtId="3" fontId="25" fillId="0" borderId="55" xfId="0" applyNumberFormat="1" applyFont="1" applyFill="1" applyBorder="1" applyAlignment="1">
      <alignment vertical="center"/>
    </xf>
    <xf numFmtId="165" fontId="25" fillId="0" borderId="55" xfId="0" applyNumberFormat="1" applyFont="1" applyFill="1" applyBorder="1" applyAlignment="1">
      <alignment vertical="center"/>
    </xf>
    <xf numFmtId="3" fontId="30" fillId="0" borderId="55" xfId="0" applyNumberFormat="1" applyFont="1" applyFill="1" applyBorder="1" applyAlignment="1">
      <alignment horizontal="right" vertical="center"/>
    </xf>
    <xf numFmtId="165" fontId="30" fillId="0" borderId="61" xfId="0" applyNumberFormat="1" applyFont="1" applyFill="1" applyBorder="1" applyAlignment="1">
      <alignment horizontal="right" vertical="center"/>
    </xf>
    <xf numFmtId="165" fontId="30" fillId="0" borderId="55" xfId="0" applyNumberFormat="1" applyFont="1" applyFill="1" applyBorder="1" applyAlignment="1">
      <alignment vertical="center"/>
    </xf>
    <xf numFmtId="3" fontId="31" fillId="0" borderId="62" xfId="0" applyNumberFormat="1" applyFont="1" applyFill="1" applyBorder="1" applyAlignment="1">
      <alignment horizontal="center" vertical="center"/>
    </xf>
    <xf numFmtId="0" fontId="31" fillId="0" borderId="56" xfId="0" applyFont="1" applyFill="1" applyBorder="1" applyAlignment="1">
      <alignment horizontal="center" vertical="center" wrapText="1"/>
    </xf>
    <xf numFmtId="3" fontId="25" fillId="0" borderId="56" xfId="0" applyNumberFormat="1" applyFont="1" applyFill="1" applyBorder="1" applyAlignment="1">
      <alignment vertical="center"/>
    </xf>
    <xf numFmtId="165" fontId="25" fillId="0" borderId="56" xfId="0" applyNumberFormat="1" applyFont="1" applyFill="1" applyBorder="1" applyAlignment="1">
      <alignment vertical="center"/>
    </xf>
    <xf numFmtId="3" fontId="30" fillId="0" borderId="56" xfId="0" applyNumberFormat="1" applyFont="1" applyFill="1" applyBorder="1" applyAlignment="1">
      <alignment horizontal="right" vertical="center"/>
    </xf>
    <xf numFmtId="165" fontId="30" fillId="0" borderId="56" xfId="0" applyNumberFormat="1" applyFont="1" applyFill="1" applyBorder="1" applyAlignment="1">
      <alignment horizontal="right" vertical="center"/>
    </xf>
    <xf numFmtId="165" fontId="30" fillId="0" borderId="56" xfId="0" applyNumberFormat="1" applyFont="1" applyFill="1" applyBorder="1" applyAlignment="1">
      <alignment vertical="center"/>
    </xf>
    <xf numFmtId="3" fontId="31" fillId="0" borderId="56" xfId="0" applyNumberFormat="1" applyFont="1" applyFill="1" applyBorder="1" applyAlignment="1">
      <alignment horizontal="center" vertical="center"/>
    </xf>
    <xf numFmtId="0" fontId="30" fillId="0" borderId="56" xfId="0" applyFont="1" applyFill="1" applyBorder="1" applyAlignment="1">
      <alignment horizontal="right" vertical="center"/>
    </xf>
    <xf numFmtId="165" fontId="30" fillId="0" borderId="63" xfId="0" applyNumberFormat="1" applyFont="1" applyFill="1" applyBorder="1" applyAlignment="1">
      <alignment horizontal="right" vertical="center"/>
    </xf>
    <xf numFmtId="3" fontId="31" fillId="0" borderId="49" xfId="0" applyNumberFormat="1" applyFont="1" applyFill="1" applyBorder="1" applyAlignment="1">
      <alignment horizontal="center" vertical="center"/>
    </xf>
    <xf numFmtId="0" fontId="30" fillId="0" borderId="57" xfId="0" applyFont="1" applyFill="1" applyBorder="1" applyAlignment="1">
      <alignment horizontal="right" vertical="center"/>
    </xf>
    <xf numFmtId="3" fontId="25" fillId="0" borderId="57" xfId="0" applyNumberFormat="1" applyFont="1" applyFill="1" applyBorder="1" applyAlignment="1">
      <alignment vertical="center"/>
    </xf>
    <xf numFmtId="165" fontId="25" fillId="0" borderId="57" xfId="0" applyNumberFormat="1" applyFont="1" applyFill="1" applyBorder="1" applyAlignment="1">
      <alignment vertical="center"/>
    </xf>
    <xf numFmtId="3" fontId="30" fillId="0" borderId="57" xfId="0" applyNumberFormat="1" applyFont="1" applyFill="1" applyBorder="1" applyAlignment="1">
      <alignment horizontal="right" vertical="center"/>
    </xf>
    <xf numFmtId="165" fontId="30" fillId="0" borderId="57" xfId="0" applyNumberFormat="1" applyFont="1" applyFill="1" applyBorder="1" applyAlignment="1">
      <alignment horizontal="right" vertical="center"/>
    </xf>
    <xf numFmtId="165" fontId="30" fillId="0" borderId="57" xfId="0" applyNumberFormat="1" applyFont="1" applyFill="1" applyBorder="1" applyAlignment="1">
      <alignment vertical="center"/>
    </xf>
    <xf numFmtId="3" fontId="31" fillId="0" borderId="57" xfId="0" applyNumberFormat="1" applyFont="1" applyFill="1" applyBorder="1" applyAlignment="1">
      <alignment horizontal="center" vertical="center"/>
    </xf>
    <xf numFmtId="0" fontId="36" fillId="0" borderId="55" xfId="0" applyFont="1" applyFill="1" applyBorder="1" applyAlignment="1">
      <alignment horizontal="center" vertical="center"/>
    </xf>
    <xf numFmtId="0" fontId="28" fillId="0" borderId="55" xfId="0" applyFont="1" applyFill="1" applyBorder="1" applyAlignment="1">
      <alignment horizontal="center" vertical="center"/>
    </xf>
    <xf numFmtId="3" fontId="28" fillId="0" borderId="55" xfId="0" applyNumberFormat="1" applyFont="1" applyFill="1" applyBorder="1" applyAlignment="1">
      <alignment vertical="center" wrapText="1"/>
    </xf>
    <xf numFmtId="10" fontId="28" fillId="0" borderId="55" xfId="0" applyNumberFormat="1" applyFont="1" applyFill="1" applyBorder="1" applyAlignment="1">
      <alignment vertical="center" wrapText="1"/>
    </xf>
    <xf numFmtId="165" fontId="28" fillId="0" borderId="55" xfId="0" applyNumberFormat="1" applyFont="1" applyFill="1" applyBorder="1" applyAlignment="1">
      <alignment vertical="center" wrapText="1"/>
    </xf>
    <xf numFmtId="164" fontId="28" fillId="0" borderId="55" xfId="0" applyNumberFormat="1" applyFont="1" applyFill="1" applyBorder="1" applyAlignment="1">
      <alignment vertical="center" wrapText="1"/>
    </xf>
    <xf numFmtId="0" fontId="36" fillId="0" borderId="56" xfId="0" applyFont="1" applyFill="1" applyBorder="1" applyAlignment="1">
      <alignment horizontal="center" vertical="center"/>
    </xf>
    <xf numFmtId="0" fontId="28" fillId="0" borderId="56" xfId="0" applyFont="1" applyFill="1" applyBorder="1" applyAlignment="1">
      <alignment horizontal="center" vertical="center"/>
    </xf>
    <xf numFmtId="3" fontId="28" fillId="0" borderId="56" xfId="0" applyNumberFormat="1" applyFont="1" applyFill="1" applyBorder="1" applyAlignment="1">
      <alignment vertical="center" wrapText="1"/>
    </xf>
    <xf numFmtId="10" fontId="28" fillId="0" borderId="56" xfId="0" applyNumberFormat="1" applyFont="1" applyFill="1" applyBorder="1" applyAlignment="1">
      <alignment vertical="center" wrapText="1"/>
    </xf>
    <xf numFmtId="165" fontId="28" fillId="0" borderId="56" xfId="0" applyNumberFormat="1" applyFont="1" applyFill="1" applyBorder="1" applyAlignment="1">
      <alignment vertical="center" wrapText="1"/>
    </xf>
    <xf numFmtId="164" fontId="28" fillId="0" borderId="56" xfId="0" applyNumberFormat="1" applyFont="1" applyFill="1" applyBorder="1" applyAlignment="1">
      <alignment vertical="center" wrapText="1"/>
    </xf>
    <xf numFmtId="0" fontId="36" fillId="0" borderId="57" xfId="0" applyFont="1" applyFill="1" applyBorder="1" applyAlignment="1">
      <alignment horizontal="center" vertical="center"/>
    </xf>
    <xf numFmtId="0" fontId="28" fillId="0" borderId="57" xfId="0" applyFont="1" applyFill="1" applyBorder="1" applyAlignment="1">
      <alignment horizontal="center" vertical="center"/>
    </xf>
    <xf numFmtId="3" fontId="28" fillId="0" borderId="57" xfId="0" applyNumberFormat="1" applyFont="1" applyFill="1" applyBorder="1" applyAlignment="1">
      <alignment vertical="center" wrapText="1"/>
    </xf>
    <xf numFmtId="10" fontId="28" fillId="0" borderId="57" xfId="0" applyNumberFormat="1" applyFont="1" applyFill="1" applyBorder="1" applyAlignment="1">
      <alignment vertical="center" wrapText="1"/>
    </xf>
    <xf numFmtId="165" fontId="28" fillId="0" borderId="57" xfId="0" applyNumberFormat="1" applyFont="1" applyFill="1" applyBorder="1" applyAlignment="1">
      <alignment vertical="center" wrapText="1"/>
    </xf>
    <xf numFmtId="164" fontId="28" fillId="0" borderId="57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34" fillId="0" borderId="0" xfId="0" applyFont="1" applyAlignment="1"/>
    <xf numFmtId="0" fontId="34" fillId="0" borderId="38" xfId="0" applyFont="1" applyBorder="1" applyAlignment="1">
      <alignment horizontal="center"/>
    </xf>
    <xf numFmtId="0" fontId="1" fillId="0" borderId="7" xfId="0" applyFont="1" applyBorder="1"/>
    <xf numFmtId="0" fontId="34" fillId="0" borderId="0" xfId="0" applyFont="1" applyAlignment="1">
      <alignment horizontal="left"/>
    </xf>
    <xf numFmtId="0" fontId="40" fillId="0" borderId="35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0" fontId="45" fillId="4" borderId="0" xfId="0" applyFont="1" applyFill="1"/>
    <xf numFmtId="0" fontId="15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3" fontId="40" fillId="0" borderId="28" xfId="0" applyNumberFormat="1" applyFont="1" applyBorder="1" applyAlignment="1">
      <alignment horizontal="center" vertical="center" wrapText="1"/>
    </xf>
    <xf numFmtId="165" fontId="40" fillId="0" borderId="28" xfId="0" applyNumberFormat="1" applyFont="1" applyBorder="1" applyAlignment="1">
      <alignment horizontal="center" vertical="center" wrapText="1"/>
    </xf>
    <xf numFmtId="3" fontId="46" fillId="0" borderId="5" xfId="0" applyNumberFormat="1" applyFont="1" applyBorder="1" applyAlignment="1">
      <alignment horizontal="center" vertical="center" wrapText="1"/>
    </xf>
    <xf numFmtId="3" fontId="46" fillId="0" borderId="5" xfId="0" applyNumberFormat="1" applyFont="1" applyBorder="1" applyAlignment="1">
      <alignment vertical="center" wrapText="1"/>
    </xf>
    <xf numFmtId="165" fontId="46" fillId="0" borderId="5" xfId="0" applyNumberFormat="1" applyFont="1" applyBorder="1" applyAlignment="1">
      <alignment horizontal="center" vertical="center" wrapText="1"/>
    </xf>
    <xf numFmtId="3" fontId="46" fillId="4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/>
    </xf>
    <xf numFmtId="0" fontId="10" fillId="0" borderId="5" xfId="0" applyFont="1" applyBorder="1"/>
    <xf numFmtId="0" fontId="42" fillId="0" borderId="5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wrapText="1"/>
    </xf>
    <xf numFmtId="3" fontId="30" fillId="0" borderId="5" xfId="0" applyNumberFormat="1" applyFont="1" applyFill="1" applyBorder="1" applyAlignment="1">
      <alignment horizontal="center" vertical="center" wrapText="1"/>
    </xf>
    <xf numFmtId="165" fontId="30" fillId="0" borderId="5" xfId="0" applyNumberFormat="1" applyFont="1" applyFill="1" applyBorder="1" applyAlignment="1">
      <alignment horizontal="center" vertical="center" wrapText="1"/>
    </xf>
    <xf numFmtId="165" fontId="30" fillId="0" borderId="5" xfId="0" applyNumberFormat="1" applyFont="1" applyFill="1" applyBorder="1" applyAlignment="1">
      <alignment horizontal="center" vertical="center"/>
    </xf>
    <xf numFmtId="165" fontId="30" fillId="0" borderId="42" xfId="0" applyNumberFormat="1" applyFont="1" applyFill="1" applyBorder="1" applyAlignment="1">
      <alignment horizontal="center" vertical="center" wrapText="1"/>
    </xf>
    <xf numFmtId="165" fontId="30" fillId="0" borderId="0" xfId="0" applyNumberFormat="1" applyFont="1" applyFill="1" applyBorder="1" applyAlignment="1">
      <alignment horizontal="center" vertical="center" wrapText="1"/>
    </xf>
    <xf numFmtId="165" fontId="30" fillId="0" borderId="39" xfId="0" applyNumberFormat="1" applyFont="1" applyFill="1" applyBorder="1" applyAlignment="1">
      <alignment horizontal="center" vertical="center"/>
    </xf>
    <xf numFmtId="165" fontId="30" fillId="0" borderId="40" xfId="0" applyNumberFormat="1" applyFont="1" applyFill="1" applyBorder="1" applyAlignment="1">
      <alignment horizontal="center" vertical="center"/>
    </xf>
    <xf numFmtId="164" fontId="47" fillId="0" borderId="0" xfId="0" applyNumberFormat="1" applyFont="1" applyFill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left" vertical="center" wrapText="1"/>
    </xf>
    <xf numFmtId="0" fontId="47" fillId="0" borderId="0" xfId="1" applyFont="1" applyFill="1" applyAlignment="1">
      <alignment horizontal="center" vertical="center" wrapText="1"/>
    </xf>
    <xf numFmtId="164" fontId="15" fillId="0" borderId="0" xfId="0" applyNumberFormat="1" applyFont="1" applyFill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32" xfId="0" applyNumberFormat="1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/>
    </xf>
    <xf numFmtId="3" fontId="20" fillId="0" borderId="5" xfId="0" applyNumberFormat="1" applyFont="1" applyFill="1" applyBorder="1" applyAlignment="1">
      <alignment horizontal="center" vertical="center" wrapText="1"/>
    </xf>
    <xf numFmtId="3" fontId="20" fillId="0" borderId="39" xfId="0" applyNumberFormat="1" applyFont="1" applyFill="1" applyBorder="1" applyAlignment="1">
      <alignment horizontal="center" vertical="center" wrapText="1"/>
    </xf>
    <xf numFmtId="3" fontId="20" fillId="0" borderId="41" xfId="0" applyNumberFormat="1" applyFont="1" applyFill="1" applyBorder="1" applyAlignment="1">
      <alignment horizontal="center" vertical="center" wrapText="1"/>
    </xf>
    <xf numFmtId="3" fontId="20" fillId="0" borderId="40" xfId="0" applyNumberFormat="1" applyFont="1" applyFill="1" applyBorder="1" applyAlignment="1">
      <alignment horizontal="center" vertical="center" wrapText="1"/>
    </xf>
    <xf numFmtId="49" fontId="36" fillId="0" borderId="0" xfId="0" applyNumberFormat="1" applyFont="1" applyFill="1" applyBorder="1" applyAlignment="1">
      <alignment horizontal="right" vertical="center" wrapText="1"/>
    </xf>
    <xf numFmtId="165" fontId="7" fillId="0" borderId="25" xfId="0" applyNumberFormat="1" applyFont="1" applyBorder="1" applyAlignment="1">
      <alignment horizontal="center" vertical="center" wrapText="1"/>
    </xf>
    <xf numFmtId="165" fontId="7" fillId="0" borderId="33" xfId="0" applyNumberFormat="1" applyFont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/>
    </xf>
    <xf numFmtId="165" fontId="13" fillId="0" borderId="31" xfId="0" applyNumberFormat="1" applyFont="1" applyFill="1" applyBorder="1" applyAlignment="1">
      <alignment horizontal="center" vertical="center"/>
    </xf>
    <xf numFmtId="165" fontId="7" fillId="0" borderId="24" xfId="0" applyNumberFormat="1" applyFont="1" applyBorder="1" applyAlignment="1">
      <alignment horizontal="center" vertical="center" wrapText="1"/>
    </xf>
    <xf numFmtId="165" fontId="7" fillId="0" borderId="3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49" fontId="28" fillId="0" borderId="0" xfId="0" applyNumberFormat="1" applyFont="1" applyFill="1" applyBorder="1" applyAlignment="1">
      <alignment horizontal="right" vertical="center" wrapText="1"/>
    </xf>
    <xf numFmtId="0" fontId="46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 wrapText="1"/>
    </xf>
    <xf numFmtId="4" fontId="33" fillId="0" borderId="5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3" fontId="46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0" fontId="34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/>
    </xf>
    <xf numFmtId="0" fontId="20" fillId="0" borderId="27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46" fillId="0" borderId="0" xfId="0" applyFont="1" applyAlignment="1">
      <alignment horizontal="center"/>
    </xf>
    <xf numFmtId="49" fontId="25" fillId="0" borderId="0" xfId="0" applyNumberFormat="1" applyFont="1" applyFill="1" applyBorder="1" applyAlignment="1">
      <alignment horizontal="right" vertical="center" wrapText="1"/>
    </xf>
    <xf numFmtId="164" fontId="49" fillId="0" borderId="0" xfId="0" applyNumberFormat="1" applyFont="1" applyFill="1" applyAlignment="1">
      <alignment horizontal="left" vertical="center" wrapText="1"/>
    </xf>
    <xf numFmtId="3" fontId="39" fillId="0" borderId="5" xfId="0" applyNumberFormat="1" applyFont="1" applyFill="1" applyBorder="1" applyAlignment="1">
      <alignment horizontal="center" vertical="center" wrapText="1"/>
    </xf>
    <xf numFmtId="0" fontId="49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9" fillId="0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164" fontId="31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27" xfId="3" applyFont="1" applyBorder="1" applyAlignment="1">
      <alignment horizontal="center" vertical="center" wrapText="1"/>
    </xf>
    <xf numFmtId="0" fontId="11" fillId="0" borderId="28" xfId="3" applyFont="1" applyBorder="1" applyAlignment="1">
      <alignment horizontal="center" vertical="center" wrapText="1"/>
    </xf>
    <xf numFmtId="0" fontId="11" fillId="0" borderId="27" xfId="4" applyFont="1" applyBorder="1" applyAlignment="1">
      <alignment horizontal="center" vertical="center" wrapText="1"/>
    </xf>
    <xf numFmtId="0" fontId="11" fillId="0" borderId="28" xfId="4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</cellXfs>
  <cellStyles count="7">
    <cellStyle name="Milliers" xfId="5" builtinId="3"/>
    <cellStyle name="Normal" xfId="0" builtinId="0"/>
    <cellStyle name="Normal 15" xfId="6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kander/Bureau/TRAVAIL%20SKANDER/PENAL/STATISTIQUE%20CONTENTIEUX%202013/daldoul/4%20eme%20trim%20ANNEXES%20CONTENTIEUX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ملحق 6"/>
      <sheetName val="ملحق 7"/>
      <sheetName val="ملحق 6-1"/>
      <sheetName val="ملحق 6-2"/>
      <sheetName val="ملحق 6-3"/>
      <sheetName val="ملحق 6-4"/>
      <sheetName val="ملحق 6-5"/>
      <sheetName val="ملحق8"/>
      <sheetName val="ملحق 9"/>
      <sheetName val="ملحق 10"/>
      <sheetName val="ملحق عدد11"/>
      <sheetName val="Feuil1"/>
    </sheetNames>
    <sheetDataSet>
      <sheetData sheetId="0" refreshError="1"/>
      <sheetData sheetId="1">
        <row r="36">
          <cell r="C36">
            <v>861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Y340"/>
  <sheetViews>
    <sheetView rightToLeft="1" view="pageBreakPreview" topLeftCell="B1" zoomScale="20" zoomScaleNormal="20" zoomScaleSheetLayoutView="20" workbookViewId="0">
      <pane xSplit="1" topLeftCell="E1" activePane="topRight" state="frozen"/>
      <selection activeCell="B1" sqref="B1"/>
      <selection pane="topRight" activeCell="B2" sqref="B2:S3"/>
    </sheetView>
  </sheetViews>
  <sheetFormatPr baseColWidth="10" defaultRowHeight="67.5"/>
  <cols>
    <col min="1" max="1" width="3.85546875" style="62" customWidth="1"/>
    <col min="2" max="2" width="54.7109375" style="72" customWidth="1"/>
    <col min="3" max="3" width="48" style="62" customWidth="1"/>
    <col min="4" max="4" width="77.7109375" style="62" customWidth="1"/>
    <col min="5" max="5" width="35.85546875" style="62" bestFit="1" customWidth="1"/>
    <col min="6" max="6" width="83.7109375" style="62" customWidth="1"/>
    <col min="7" max="7" width="40.85546875" style="62" customWidth="1"/>
    <col min="8" max="8" width="84.85546875" style="62" customWidth="1"/>
    <col min="9" max="9" width="36" style="62" customWidth="1"/>
    <col min="10" max="10" width="90" style="62" customWidth="1"/>
    <col min="11" max="11" width="43.5703125" style="171" customWidth="1"/>
    <col min="12" max="12" width="48.85546875" style="67" customWidth="1"/>
    <col min="13" max="13" width="99.5703125" style="67" bestFit="1" customWidth="1"/>
    <col min="14" max="14" width="31.28515625" style="62" bestFit="1" customWidth="1"/>
    <col min="15" max="15" width="87.28515625" style="67" bestFit="1" customWidth="1"/>
    <col min="16" max="16" width="29.42578125" style="62" customWidth="1"/>
    <col min="17" max="17" width="81.85546875" style="67" customWidth="1"/>
    <col min="18" max="18" width="35.85546875" style="62" customWidth="1"/>
    <col min="19" max="19" width="81.140625" style="62" customWidth="1"/>
    <col min="20" max="20" width="39.7109375" style="62" customWidth="1"/>
    <col min="21" max="24" width="11.42578125" style="62"/>
    <col min="25" max="25" width="22.5703125" style="62" bestFit="1" customWidth="1"/>
    <col min="26" max="16384" width="11.42578125" style="62"/>
  </cols>
  <sheetData>
    <row r="1" spans="2:25" ht="162.75" customHeight="1">
      <c r="B1" s="63"/>
      <c r="C1" s="64"/>
      <c r="D1" s="64"/>
      <c r="E1" s="65"/>
      <c r="F1" s="65"/>
      <c r="G1" s="65"/>
      <c r="H1" s="66"/>
      <c r="I1" s="66"/>
      <c r="J1" s="66"/>
      <c r="K1" s="201"/>
      <c r="L1" s="65"/>
      <c r="M1" s="65"/>
      <c r="R1" s="408" t="s">
        <v>96</v>
      </c>
      <c r="S1" s="408"/>
      <c r="T1" s="198"/>
    </row>
    <row r="2" spans="2:25" ht="60.75" customHeight="1">
      <c r="B2" s="410" t="s">
        <v>82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199"/>
      <c r="U2" s="129"/>
      <c r="V2" s="129"/>
    </row>
    <row r="3" spans="2:25" ht="36" customHeight="1"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199"/>
      <c r="U3" s="129"/>
      <c r="V3" s="129"/>
    </row>
    <row r="4" spans="2:25" ht="52.5" customHeight="1" thickBot="1">
      <c r="B4" s="169"/>
      <c r="C4" s="170"/>
      <c r="D4" s="170"/>
      <c r="E4" s="207"/>
      <c r="F4" s="207"/>
      <c r="G4" s="207"/>
      <c r="H4" s="208"/>
      <c r="I4" s="208"/>
      <c r="J4" s="208"/>
      <c r="K4" s="209"/>
      <c r="L4" s="409"/>
      <c r="M4" s="409"/>
      <c r="N4" s="409"/>
      <c r="O4" s="409"/>
      <c r="P4" s="409"/>
      <c r="Q4" s="409"/>
      <c r="R4" s="409"/>
      <c r="S4" s="409"/>
      <c r="T4" s="200"/>
    </row>
    <row r="5" spans="2:25" s="171" customFormat="1" ht="150" customHeight="1" thickBot="1">
      <c r="B5" s="210" t="s">
        <v>59</v>
      </c>
      <c r="C5" s="400" t="s">
        <v>74</v>
      </c>
      <c r="D5" s="400"/>
      <c r="E5" s="400"/>
      <c r="F5" s="400"/>
      <c r="G5" s="400"/>
      <c r="H5" s="400"/>
      <c r="I5" s="400"/>
      <c r="J5" s="400"/>
      <c r="K5" s="400"/>
      <c r="L5" s="400" t="s">
        <v>113</v>
      </c>
      <c r="M5" s="400"/>
      <c r="N5" s="400"/>
      <c r="O5" s="400"/>
      <c r="P5" s="400"/>
      <c r="Q5" s="400"/>
      <c r="R5" s="400"/>
      <c r="S5" s="400"/>
      <c r="T5" s="400"/>
    </row>
    <row r="6" spans="2:25" s="171" customFormat="1" ht="150" customHeight="1" thickBot="1">
      <c r="B6" s="400" t="s">
        <v>53</v>
      </c>
      <c r="C6" s="400" t="s">
        <v>81</v>
      </c>
      <c r="D6" s="400"/>
      <c r="E6" s="400" t="s">
        <v>54</v>
      </c>
      <c r="F6" s="400"/>
      <c r="G6" s="400" t="s">
        <v>55</v>
      </c>
      <c r="H6" s="400"/>
      <c r="I6" s="400" t="s">
        <v>34</v>
      </c>
      <c r="J6" s="400"/>
      <c r="K6" s="400" t="s">
        <v>109</v>
      </c>
      <c r="L6" s="400" t="s">
        <v>81</v>
      </c>
      <c r="M6" s="400"/>
      <c r="N6" s="400" t="s">
        <v>54</v>
      </c>
      <c r="O6" s="400"/>
      <c r="P6" s="400" t="s">
        <v>55</v>
      </c>
      <c r="Q6" s="400"/>
      <c r="R6" s="400" t="s">
        <v>34</v>
      </c>
      <c r="S6" s="400"/>
      <c r="T6" s="398" t="s">
        <v>109</v>
      </c>
      <c r="U6" s="172"/>
      <c r="V6" s="172"/>
      <c r="W6" s="172"/>
      <c r="X6" s="172"/>
    </row>
    <row r="7" spans="2:25" s="171" customFormat="1" ht="150" customHeight="1" thickBot="1">
      <c r="B7" s="400"/>
      <c r="C7" s="138" t="s">
        <v>0</v>
      </c>
      <c r="D7" s="138" t="s">
        <v>1</v>
      </c>
      <c r="E7" s="138" t="s">
        <v>0</v>
      </c>
      <c r="F7" s="138" t="s">
        <v>1</v>
      </c>
      <c r="G7" s="138" t="s">
        <v>0</v>
      </c>
      <c r="H7" s="138" t="s">
        <v>1</v>
      </c>
      <c r="I7" s="138" t="s">
        <v>0</v>
      </c>
      <c r="J7" s="138" t="s">
        <v>1</v>
      </c>
      <c r="K7" s="400"/>
      <c r="L7" s="263" t="s">
        <v>0</v>
      </c>
      <c r="M7" s="264" t="s">
        <v>1</v>
      </c>
      <c r="N7" s="263" t="s">
        <v>0</v>
      </c>
      <c r="O7" s="264" t="s">
        <v>1</v>
      </c>
      <c r="P7" s="263" t="s">
        <v>0</v>
      </c>
      <c r="Q7" s="264" t="s">
        <v>1</v>
      </c>
      <c r="R7" s="263" t="s">
        <v>0</v>
      </c>
      <c r="S7" s="263" t="s">
        <v>1</v>
      </c>
      <c r="T7" s="398"/>
      <c r="U7" s="173"/>
      <c r="V7" s="173"/>
      <c r="W7" s="173"/>
      <c r="X7" s="173"/>
    </row>
    <row r="8" spans="2:25" s="171" customFormat="1" ht="123" customHeight="1">
      <c r="B8" s="328" t="s">
        <v>66</v>
      </c>
      <c r="C8" s="329">
        <v>0</v>
      </c>
      <c r="D8" s="330">
        <v>0</v>
      </c>
      <c r="E8" s="329">
        <v>0</v>
      </c>
      <c r="F8" s="330">
        <v>0</v>
      </c>
      <c r="G8" s="329">
        <v>88</v>
      </c>
      <c r="H8" s="330">
        <v>214350656</v>
      </c>
      <c r="I8" s="331">
        <f>C8+E8+G8</f>
        <v>88</v>
      </c>
      <c r="J8" s="332">
        <f>D8+F8+H8</f>
        <v>214350656</v>
      </c>
      <c r="K8" s="329">
        <v>65</v>
      </c>
      <c r="L8" s="329">
        <v>0</v>
      </c>
      <c r="M8" s="330">
        <v>0</v>
      </c>
      <c r="N8" s="329">
        <v>0</v>
      </c>
      <c r="O8" s="330">
        <v>0</v>
      </c>
      <c r="P8" s="329">
        <v>107</v>
      </c>
      <c r="Q8" s="330">
        <v>135405614</v>
      </c>
      <c r="R8" s="331">
        <f t="shared" ref="R8:R17" si="0">P8+N8+L8</f>
        <v>107</v>
      </c>
      <c r="S8" s="333">
        <f t="shared" ref="S8:S17" si="1">Q8+O8+M8</f>
        <v>135405614</v>
      </c>
      <c r="T8" s="334">
        <v>61</v>
      </c>
      <c r="U8" s="173"/>
      <c r="V8" s="173"/>
      <c r="W8" s="173"/>
      <c r="X8" s="173"/>
    </row>
    <row r="9" spans="2:25" s="171" customFormat="1" ht="150" customHeight="1">
      <c r="B9" s="335" t="s">
        <v>65</v>
      </c>
      <c r="C9" s="336">
        <v>0</v>
      </c>
      <c r="D9" s="337"/>
      <c r="E9" s="336">
        <v>11</v>
      </c>
      <c r="F9" s="337">
        <v>1905397</v>
      </c>
      <c r="G9" s="336">
        <v>0</v>
      </c>
      <c r="H9" s="337">
        <v>0</v>
      </c>
      <c r="I9" s="338">
        <f t="shared" ref="I9:I36" si="2">C9+E9+G9</f>
        <v>11</v>
      </c>
      <c r="J9" s="339">
        <f t="shared" ref="J9:J36" si="3">D9+F9+H9</f>
        <v>1905397</v>
      </c>
      <c r="K9" s="336">
        <v>5</v>
      </c>
      <c r="L9" s="336">
        <v>1</v>
      </c>
      <c r="M9" s="337">
        <v>583</v>
      </c>
      <c r="N9" s="336">
        <v>7</v>
      </c>
      <c r="O9" s="337">
        <v>2380032</v>
      </c>
      <c r="P9" s="336">
        <v>3</v>
      </c>
      <c r="Q9" s="337">
        <v>7481347</v>
      </c>
      <c r="R9" s="338">
        <f t="shared" si="0"/>
        <v>11</v>
      </c>
      <c r="S9" s="340">
        <f t="shared" si="1"/>
        <v>9861962</v>
      </c>
      <c r="T9" s="341">
        <v>6</v>
      </c>
      <c r="U9" s="173"/>
      <c r="V9" s="173"/>
      <c r="W9" s="173"/>
      <c r="X9" s="173"/>
    </row>
    <row r="10" spans="2:25" s="171" customFormat="1" ht="97.5" customHeight="1">
      <c r="B10" s="342" t="s">
        <v>2</v>
      </c>
      <c r="C10" s="336">
        <v>108</v>
      </c>
      <c r="D10" s="337">
        <v>6298327</v>
      </c>
      <c r="E10" s="336">
        <v>467</v>
      </c>
      <c r="F10" s="337">
        <v>9296998</v>
      </c>
      <c r="G10" s="336">
        <v>56</v>
      </c>
      <c r="H10" s="337">
        <v>14682906</v>
      </c>
      <c r="I10" s="338">
        <f t="shared" si="2"/>
        <v>631</v>
      </c>
      <c r="J10" s="339">
        <f t="shared" si="3"/>
        <v>30278231</v>
      </c>
      <c r="K10" s="336">
        <v>74</v>
      </c>
      <c r="L10" s="336">
        <f>114+46</f>
        <v>160</v>
      </c>
      <c r="M10" s="337">
        <f>8138939+546000</f>
        <v>8684939</v>
      </c>
      <c r="N10" s="336">
        <v>250</v>
      </c>
      <c r="O10" s="337">
        <v>6610532</v>
      </c>
      <c r="P10" s="336">
        <v>37</v>
      </c>
      <c r="Q10" s="337">
        <v>11059284</v>
      </c>
      <c r="R10" s="338">
        <f t="shared" si="0"/>
        <v>447</v>
      </c>
      <c r="S10" s="340">
        <f t="shared" si="1"/>
        <v>26354755</v>
      </c>
      <c r="T10" s="341">
        <v>288</v>
      </c>
      <c r="U10" s="174"/>
      <c r="V10" s="174"/>
      <c r="W10" s="174"/>
      <c r="X10" s="174"/>
    </row>
    <row r="11" spans="2:25" s="171" customFormat="1" ht="97.5" customHeight="1">
      <c r="B11" s="342" t="s">
        <v>73</v>
      </c>
      <c r="C11" s="336">
        <v>24</v>
      </c>
      <c r="D11" s="337">
        <v>2348000</v>
      </c>
      <c r="E11" s="336">
        <v>243</v>
      </c>
      <c r="F11" s="337">
        <v>11443000</v>
      </c>
      <c r="G11" s="336">
        <v>19</v>
      </c>
      <c r="H11" s="337">
        <v>3499000</v>
      </c>
      <c r="I11" s="338">
        <f t="shared" si="2"/>
        <v>286</v>
      </c>
      <c r="J11" s="343">
        <f t="shared" si="3"/>
        <v>17290000</v>
      </c>
      <c r="K11" s="336">
        <v>49</v>
      </c>
      <c r="L11" s="336">
        <v>82</v>
      </c>
      <c r="M11" s="337">
        <v>6169935</v>
      </c>
      <c r="N11" s="336">
        <v>189</v>
      </c>
      <c r="O11" s="337">
        <v>13384051</v>
      </c>
      <c r="P11" s="336">
        <v>5</v>
      </c>
      <c r="Q11" s="337">
        <v>1298249</v>
      </c>
      <c r="R11" s="338">
        <f t="shared" si="0"/>
        <v>276</v>
      </c>
      <c r="S11" s="340">
        <f t="shared" si="1"/>
        <v>20852235</v>
      </c>
      <c r="T11" s="344">
        <v>37</v>
      </c>
      <c r="U11" s="174"/>
      <c r="V11" s="174"/>
      <c r="W11" s="174"/>
      <c r="X11" s="174"/>
    </row>
    <row r="12" spans="2:25" s="171" customFormat="1" ht="97.5" customHeight="1">
      <c r="B12" s="342" t="s">
        <v>67</v>
      </c>
      <c r="C12" s="336">
        <v>44</v>
      </c>
      <c r="D12" s="337">
        <v>4836000</v>
      </c>
      <c r="E12" s="336">
        <v>172</v>
      </c>
      <c r="F12" s="337">
        <v>13606000</v>
      </c>
      <c r="G12" s="336">
        <v>75</v>
      </c>
      <c r="H12" s="337">
        <v>65108000</v>
      </c>
      <c r="I12" s="338">
        <f t="shared" si="2"/>
        <v>291</v>
      </c>
      <c r="J12" s="339">
        <f t="shared" si="3"/>
        <v>83550000</v>
      </c>
      <c r="K12" s="336">
        <v>46</v>
      </c>
      <c r="L12" s="336">
        <v>89</v>
      </c>
      <c r="M12" s="337">
        <v>10475712</v>
      </c>
      <c r="N12" s="336">
        <v>204</v>
      </c>
      <c r="O12" s="337">
        <v>8442202</v>
      </c>
      <c r="P12" s="336">
        <v>58</v>
      </c>
      <c r="Q12" s="337">
        <v>28134111</v>
      </c>
      <c r="R12" s="338">
        <f t="shared" si="0"/>
        <v>351</v>
      </c>
      <c r="S12" s="340">
        <f t="shared" si="1"/>
        <v>47052025</v>
      </c>
      <c r="T12" s="341">
        <v>58</v>
      </c>
      <c r="U12" s="174"/>
      <c r="V12" s="174"/>
      <c r="W12" s="174"/>
      <c r="X12" s="174"/>
      <c r="Y12" s="202"/>
    </row>
    <row r="13" spans="2:25" s="171" customFormat="1" ht="97.5" customHeight="1">
      <c r="B13" s="342" t="s">
        <v>4</v>
      </c>
      <c r="C13" s="336">
        <v>13</v>
      </c>
      <c r="D13" s="336">
        <v>2667289</v>
      </c>
      <c r="E13" s="336">
        <v>159</v>
      </c>
      <c r="F13" s="336">
        <v>6592656</v>
      </c>
      <c r="G13" s="336">
        <v>127</v>
      </c>
      <c r="H13" s="336">
        <v>57392755</v>
      </c>
      <c r="I13" s="338">
        <f t="shared" si="2"/>
        <v>299</v>
      </c>
      <c r="J13" s="339">
        <f t="shared" si="3"/>
        <v>66652700</v>
      </c>
      <c r="K13" s="336">
        <v>31</v>
      </c>
      <c r="L13" s="336">
        <v>83</v>
      </c>
      <c r="M13" s="336">
        <f>4685160+43771+130258</f>
        <v>4859189</v>
      </c>
      <c r="N13" s="336">
        <v>165</v>
      </c>
      <c r="O13" s="337">
        <v>7052100</v>
      </c>
      <c r="P13" s="336">
        <v>57</v>
      </c>
      <c r="Q13" s="337">
        <v>19865848</v>
      </c>
      <c r="R13" s="338">
        <f t="shared" si="0"/>
        <v>305</v>
      </c>
      <c r="S13" s="340">
        <f t="shared" si="1"/>
        <v>31777137</v>
      </c>
      <c r="T13" s="341">
        <v>157</v>
      </c>
      <c r="U13" s="174"/>
      <c r="V13" s="174"/>
      <c r="W13" s="174"/>
      <c r="X13" s="174"/>
    </row>
    <row r="14" spans="2:25" s="171" customFormat="1" ht="97.5" customHeight="1">
      <c r="B14" s="342" t="s">
        <v>5</v>
      </c>
      <c r="C14" s="336">
        <v>95</v>
      </c>
      <c r="D14" s="337">
        <v>7380000</v>
      </c>
      <c r="E14" s="336">
        <v>559</v>
      </c>
      <c r="F14" s="337">
        <v>13100000</v>
      </c>
      <c r="G14" s="336">
        <v>147</v>
      </c>
      <c r="H14" s="337">
        <v>42750000</v>
      </c>
      <c r="I14" s="338">
        <f t="shared" si="2"/>
        <v>801</v>
      </c>
      <c r="J14" s="339">
        <f t="shared" si="3"/>
        <v>63230000</v>
      </c>
      <c r="K14" s="336">
        <v>230</v>
      </c>
      <c r="L14" s="336">
        <f>108+29</f>
        <v>137</v>
      </c>
      <c r="M14" s="337">
        <f>9536354+164716</f>
        <v>9701070</v>
      </c>
      <c r="N14" s="336">
        <v>101</v>
      </c>
      <c r="O14" s="337">
        <v>15080781</v>
      </c>
      <c r="P14" s="336">
        <v>22</v>
      </c>
      <c r="Q14" s="337">
        <v>7157156</v>
      </c>
      <c r="R14" s="338">
        <f t="shared" si="0"/>
        <v>260</v>
      </c>
      <c r="S14" s="340">
        <f t="shared" si="1"/>
        <v>31939007</v>
      </c>
      <c r="T14" s="341">
        <v>183</v>
      </c>
      <c r="U14" s="174"/>
      <c r="V14" s="174"/>
      <c r="W14" s="174"/>
      <c r="X14" s="174"/>
    </row>
    <row r="15" spans="2:25" s="171" customFormat="1" ht="97.5" customHeight="1">
      <c r="B15" s="342" t="s">
        <v>6</v>
      </c>
      <c r="C15" s="336">
        <v>56</v>
      </c>
      <c r="D15" s="337">
        <v>60000</v>
      </c>
      <c r="E15" s="336">
        <v>287</v>
      </c>
      <c r="F15" s="337">
        <v>2273000</v>
      </c>
      <c r="G15" s="336">
        <v>62</v>
      </c>
      <c r="H15" s="337">
        <v>12133000</v>
      </c>
      <c r="I15" s="338">
        <f t="shared" si="2"/>
        <v>405</v>
      </c>
      <c r="J15" s="339">
        <f t="shared" si="3"/>
        <v>14466000</v>
      </c>
      <c r="K15" s="336">
        <v>76</v>
      </c>
      <c r="L15" s="336">
        <v>189</v>
      </c>
      <c r="M15" s="337">
        <f>2071660.154+6567500</f>
        <v>8639160.1539999992</v>
      </c>
      <c r="N15" s="336">
        <v>370</v>
      </c>
      <c r="O15" s="337">
        <v>3054786.8470000001</v>
      </c>
      <c r="P15" s="336">
        <v>126</v>
      </c>
      <c r="Q15" s="337">
        <v>18602270.077</v>
      </c>
      <c r="R15" s="338">
        <f t="shared" si="0"/>
        <v>685</v>
      </c>
      <c r="S15" s="340">
        <f t="shared" si="1"/>
        <v>30296217.077999998</v>
      </c>
      <c r="T15" s="341">
        <v>142</v>
      </c>
      <c r="U15" s="174"/>
      <c r="V15" s="174"/>
      <c r="W15" s="174"/>
      <c r="X15" s="174"/>
    </row>
    <row r="16" spans="2:25" s="171" customFormat="1" ht="97.5" customHeight="1">
      <c r="B16" s="342" t="s">
        <v>7</v>
      </c>
      <c r="C16" s="336">
        <v>130</v>
      </c>
      <c r="D16" s="337">
        <v>11730937.119999999</v>
      </c>
      <c r="E16" s="336">
        <v>771</v>
      </c>
      <c r="F16" s="337">
        <v>17675482.890000001</v>
      </c>
      <c r="G16" s="336">
        <v>145</v>
      </c>
      <c r="H16" s="337">
        <v>304732530.33999997</v>
      </c>
      <c r="I16" s="338">
        <f t="shared" si="2"/>
        <v>1046</v>
      </c>
      <c r="J16" s="339">
        <f t="shared" si="3"/>
        <v>334138950.34999996</v>
      </c>
      <c r="K16" s="336">
        <v>95</v>
      </c>
      <c r="L16" s="336">
        <f>1119+64+18</f>
        <v>1201</v>
      </c>
      <c r="M16" s="337">
        <f>43951185.781+406075.592+198350.664</f>
        <v>44555612.037</v>
      </c>
      <c r="N16" s="336">
        <v>545</v>
      </c>
      <c r="O16" s="337">
        <v>14094357.401000001</v>
      </c>
      <c r="P16" s="336">
        <v>48</v>
      </c>
      <c r="Q16" s="337">
        <v>34220220.876999997</v>
      </c>
      <c r="R16" s="338">
        <f t="shared" si="0"/>
        <v>1794</v>
      </c>
      <c r="S16" s="340">
        <f t="shared" si="1"/>
        <v>92870190.314999998</v>
      </c>
      <c r="T16" s="341">
        <v>420</v>
      </c>
      <c r="U16" s="174"/>
      <c r="V16" s="174"/>
      <c r="W16" s="174"/>
      <c r="X16" s="174"/>
    </row>
    <row r="17" spans="2:24" s="171" customFormat="1" ht="97.5" customHeight="1">
      <c r="B17" s="342" t="s">
        <v>71</v>
      </c>
      <c r="C17" s="336">
        <v>226</v>
      </c>
      <c r="D17" s="337">
        <v>2073325</v>
      </c>
      <c r="E17" s="336">
        <v>99</v>
      </c>
      <c r="F17" s="337">
        <v>2539469</v>
      </c>
      <c r="G17" s="336">
        <v>11</v>
      </c>
      <c r="H17" s="337">
        <f>2813161</f>
        <v>2813161</v>
      </c>
      <c r="I17" s="338">
        <f t="shared" si="2"/>
        <v>336</v>
      </c>
      <c r="J17" s="339">
        <f t="shared" si="3"/>
        <v>7425955</v>
      </c>
      <c r="K17" s="336">
        <v>37</v>
      </c>
      <c r="L17" s="336">
        <f>96+214+7</f>
        <v>317</v>
      </c>
      <c r="M17" s="337">
        <f>2914301+731450+63100</f>
        <v>3708851</v>
      </c>
      <c r="N17" s="336">
        <v>36</v>
      </c>
      <c r="O17" s="337">
        <v>711568</v>
      </c>
      <c r="P17" s="336">
        <v>14</v>
      </c>
      <c r="Q17" s="337">
        <v>1358947</v>
      </c>
      <c r="R17" s="338">
        <f t="shared" si="0"/>
        <v>367</v>
      </c>
      <c r="S17" s="340">
        <f t="shared" si="1"/>
        <v>5779366</v>
      </c>
      <c r="T17" s="341">
        <v>57</v>
      </c>
      <c r="U17" s="174"/>
      <c r="V17" s="174"/>
      <c r="W17" s="174"/>
      <c r="X17" s="174"/>
    </row>
    <row r="18" spans="2:24" s="171" customFormat="1" ht="97.5" customHeight="1">
      <c r="B18" s="342" t="s">
        <v>72</v>
      </c>
      <c r="C18" s="336">
        <v>20</v>
      </c>
      <c r="D18" s="337">
        <v>125000</v>
      </c>
      <c r="E18" s="336">
        <v>35</v>
      </c>
      <c r="F18" s="337">
        <v>1475000</v>
      </c>
      <c r="G18" s="336">
        <v>9</v>
      </c>
      <c r="H18" s="337">
        <v>2333000</v>
      </c>
      <c r="I18" s="338">
        <f t="shared" si="2"/>
        <v>64</v>
      </c>
      <c r="J18" s="339">
        <f t="shared" si="3"/>
        <v>3933000</v>
      </c>
      <c r="K18" s="336">
        <v>5</v>
      </c>
      <c r="L18" s="336">
        <v>41</v>
      </c>
      <c r="M18" s="337">
        <f>714081+36953</f>
        <v>751034</v>
      </c>
      <c r="N18" s="336">
        <v>60</v>
      </c>
      <c r="O18" s="337">
        <v>1128438</v>
      </c>
      <c r="P18" s="336">
        <v>5</v>
      </c>
      <c r="Q18" s="337">
        <v>2835000</v>
      </c>
      <c r="R18" s="338">
        <f>P18+N18+L18</f>
        <v>106</v>
      </c>
      <c r="S18" s="340">
        <f>Q18+O18+M18</f>
        <v>4714472</v>
      </c>
      <c r="T18" s="341">
        <v>31</v>
      </c>
      <c r="U18" s="174"/>
      <c r="V18" s="174"/>
      <c r="W18" s="174"/>
      <c r="X18" s="174"/>
    </row>
    <row r="19" spans="2:24" s="171" customFormat="1" ht="97.5" customHeight="1">
      <c r="B19" s="342" t="s">
        <v>8</v>
      </c>
      <c r="C19" s="336">
        <v>56</v>
      </c>
      <c r="D19" s="337">
        <v>2934000</v>
      </c>
      <c r="E19" s="336">
        <v>388</v>
      </c>
      <c r="F19" s="337">
        <v>4645000</v>
      </c>
      <c r="G19" s="336">
        <v>92</v>
      </c>
      <c r="H19" s="337">
        <v>17990000</v>
      </c>
      <c r="I19" s="338">
        <f t="shared" si="2"/>
        <v>536</v>
      </c>
      <c r="J19" s="339">
        <f t="shared" si="3"/>
        <v>25569000</v>
      </c>
      <c r="K19" s="336">
        <v>115</v>
      </c>
      <c r="L19" s="336">
        <f>115+27</f>
        <v>142</v>
      </c>
      <c r="M19" s="337">
        <f>3266900+87903+915060</f>
        <v>4269863</v>
      </c>
      <c r="N19" s="336">
        <v>119</v>
      </c>
      <c r="O19" s="337">
        <v>2937024</v>
      </c>
      <c r="P19" s="336">
        <v>61</v>
      </c>
      <c r="Q19" s="337">
        <v>11082922</v>
      </c>
      <c r="R19" s="338">
        <f t="shared" ref="R19:R36" si="4">P19+N19+L19</f>
        <v>322</v>
      </c>
      <c r="S19" s="340">
        <f t="shared" ref="S19:S36" si="5">Q19+O19+M19</f>
        <v>18289809</v>
      </c>
      <c r="T19" s="341">
        <v>222</v>
      </c>
      <c r="U19" s="174"/>
      <c r="V19" s="174"/>
      <c r="W19" s="174"/>
      <c r="X19" s="174"/>
    </row>
    <row r="20" spans="2:24" s="171" customFormat="1" ht="97.5" customHeight="1">
      <c r="B20" s="342" t="s">
        <v>9</v>
      </c>
      <c r="C20" s="336">
        <v>25</v>
      </c>
      <c r="D20" s="337">
        <v>2687094</v>
      </c>
      <c r="E20" s="336">
        <v>163</v>
      </c>
      <c r="F20" s="337">
        <v>4146274</v>
      </c>
      <c r="G20" s="336">
        <v>70</v>
      </c>
      <c r="H20" s="337">
        <v>6502222</v>
      </c>
      <c r="I20" s="338">
        <f t="shared" si="2"/>
        <v>258</v>
      </c>
      <c r="J20" s="339">
        <f t="shared" si="3"/>
        <v>13335590</v>
      </c>
      <c r="K20" s="336">
        <v>56</v>
      </c>
      <c r="L20" s="336">
        <f>141+63</f>
        <v>204</v>
      </c>
      <c r="M20" s="337">
        <f>2964305+2812882</f>
        <v>5777187</v>
      </c>
      <c r="N20" s="336">
        <v>142</v>
      </c>
      <c r="O20" s="337">
        <v>4780553</v>
      </c>
      <c r="P20" s="336">
        <v>53</v>
      </c>
      <c r="Q20" s="337">
        <v>39811731</v>
      </c>
      <c r="R20" s="338">
        <f t="shared" si="4"/>
        <v>399</v>
      </c>
      <c r="S20" s="340">
        <f t="shared" si="5"/>
        <v>50369471</v>
      </c>
      <c r="T20" s="341">
        <v>87</v>
      </c>
      <c r="U20" s="174"/>
      <c r="V20" s="174"/>
      <c r="W20" s="174"/>
      <c r="X20" s="174"/>
    </row>
    <row r="21" spans="2:24" s="171" customFormat="1" ht="97.5" customHeight="1">
      <c r="B21" s="342" t="s">
        <v>10</v>
      </c>
      <c r="C21" s="336">
        <v>85</v>
      </c>
      <c r="D21" s="337">
        <v>1029342</v>
      </c>
      <c r="E21" s="336">
        <v>407</v>
      </c>
      <c r="F21" s="337">
        <v>5316547</v>
      </c>
      <c r="G21" s="336">
        <v>134</v>
      </c>
      <c r="H21" s="337">
        <v>111200392</v>
      </c>
      <c r="I21" s="338">
        <f t="shared" si="2"/>
        <v>626</v>
      </c>
      <c r="J21" s="339">
        <f t="shared" si="3"/>
        <v>117546281</v>
      </c>
      <c r="K21" s="336">
        <v>47</v>
      </c>
      <c r="L21" s="336">
        <v>200</v>
      </c>
      <c r="M21" s="337">
        <f>2101736+363855</f>
        <v>2465591</v>
      </c>
      <c r="N21" s="336">
        <v>211</v>
      </c>
      <c r="O21" s="337">
        <v>2852526</v>
      </c>
      <c r="P21" s="336">
        <v>58</v>
      </c>
      <c r="Q21" s="337">
        <v>23566386</v>
      </c>
      <c r="R21" s="338">
        <f t="shared" si="4"/>
        <v>469</v>
      </c>
      <c r="S21" s="340">
        <f t="shared" si="5"/>
        <v>28884503</v>
      </c>
      <c r="T21" s="341">
        <v>252</v>
      </c>
      <c r="U21" s="174"/>
      <c r="V21" s="174"/>
      <c r="W21" s="174"/>
      <c r="X21" s="174"/>
    </row>
    <row r="22" spans="2:24" s="171" customFormat="1" ht="97.5" customHeight="1">
      <c r="B22" s="342" t="s">
        <v>11</v>
      </c>
      <c r="C22" s="336">
        <v>95</v>
      </c>
      <c r="D22" s="337">
        <v>884944</v>
      </c>
      <c r="E22" s="336">
        <v>339</v>
      </c>
      <c r="F22" s="337">
        <v>1712237</v>
      </c>
      <c r="G22" s="336">
        <v>67</v>
      </c>
      <c r="H22" s="337">
        <v>7247152</v>
      </c>
      <c r="I22" s="338">
        <f t="shared" si="2"/>
        <v>501</v>
      </c>
      <c r="J22" s="339">
        <f t="shared" si="3"/>
        <v>9844333</v>
      </c>
      <c r="K22" s="336">
        <v>26</v>
      </c>
      <c r="L22" s="336">
        <v>207</v>
      </c>
      <c r="M22" s="337">
        <f>1257304+208546</f>
        <v>1465850</v>
      </c>
      <c r="N22" s="336">
        <f>148</f>
        <v>148</v>
      </c>
      <c r="O22" s="337">
        <v>1035408</v>
      </c>
      <c r="P22" s="336">
        <v>18</v>
      </c>
      <c r="Q22" s="337">
        <v>3748976</v>
      </c>
      <c r="R22" s="338">
        <f t="shared" si="4"/>
        <v>373</v>
      </c>
      <c r="S22" s="340">
        <f t="shared" si="5"/>
        <v>6250234</v>
      </c>
      <c r="T22" s="341">
        <v>40</v>
      </c>
      <c r="U22" s="174"/>
      <c r="V22" s="174"/>
      <c r="W22" s="174"/>
      <c r="X22" s="174"/>
    </row>
    <row r="23" spans="2:24" s="171" customFormat="1" ht="97.5" customHeight="1">
      <c r="B23" s="342" t="s">
        <v>12</v>
      </c>
      <c r="C23" s="336">
        <v>0</v>
      </c>
      <c r="D23" s="337">
        <v>0</v>
      </c>
      <c r="E23" s="336">
        <v>32</v>
      </c>
      <c r="F23" s="337">
        <v>113789</v>
      </c>
      <c r="G23" s="336">
        <v>37</v>
      </c>
      <c r="H23" s="337">
        <v>3101355</v>
      </c>
      <c r="I23" s="338">
        <f t="shared" si="2"/>
        <v>69</v>
      </c>
      <c r="J23" s="339">
        <f t="shared" si="3"/>
        <v>3215144</v>
      </c>
      <c r="K23" s="336">
        <v>8</v>
      </c>
      <c r="L23" s="336">
        <f>36+46+15</f>
        <v>97</v>
      </c>
      <c r="M23" s="337">
        <f>1300983+165353+38752</f>
        <v>1505088</v>
      </c>
      <c r="N23" s="336">
        <v>160</v>
      </c>
      <c r="O23" s="337">
        <v>1220058</v>
      </c>
      <c r="P23" s="336">
        <v>45</v>
      </c>
      <c r="Q23" s="337">
        <v>8862778</v>
      </c>
      <c r="R23" s="338">
        <f t="shared" si="4"/>
        <v>302</v>
      </c>
      <c r="S23" s="340">
        <f t="shared" si="5"/>
        <v>11587924</v>
      </c>
      <c r="T23" s="341">
        <v>49</v>
      </c>
      <c r="U23" s="174"/>
      <c r="V23" s="174"/>
      <c r="W23" s="174"/>
      <c r="X23" s="174"/>
    </row>
    <row r="24" spans="2:24" s="171" customFormat="1" ht="97.5" customHeight="1">
      <c r="B24" s="342" t="s">
        <v>13</v>
      </c>
      <c r="C24" s="336">
        <v>1</v>
      </c>
      <c r="D24" s="337">
        <v>429360</v>
      </c>
      <c r="E24" s="336">
        <v>60</v>
      </c>
      <c r="F24" s="337">
        <v>281539</v>
      </c>
      <c r="G24" s="336">
        <v>18</v>
      </c>
      <c r="H24" s="337">
        <v>2035239</v>
      </c>
      <c r="I24" s="338">
        <f t="shared" si="2"/>
        <v>79</v>
      </c>
      <c r="J24" s="339">
        <f t="shared" si="3"/>
        <v>2746138</v>
      </c>
      <c r="K24" s="336">
        <v>9</v>
      </c>
      <c r="L24" s="336">
        <v>34</v>
      </c>
      <c r="M24" s="337">
        <f>625554+17088</f>
        <v>642642</v>
      </c>
      <c r="N24" s="336">
        <v>130</v>
      </c>
      <c r="O24" s="337">
        <v>1435060</v>
      </c>
      <c r="P24" s="336">
        <v>52</v>
      </c>
      <c r="Q24" s="337">
        <v>5664244</v>
      </c>
      <c r="R24" s="338">
        <f t="shared" si="4"/>
        <v>216</v>
      </c>
      <c r="S24" s="340">
        <f t="shared" si="5"/>
        <v>7741946</v>
      </c>
      <c r="T24" s="341">
        <v>43</v>
      </c>
      <c r="U24" s="174"/>
      <c r="V24" s="174"/>
      <c r="W24" s="174"/>
      <c r="X24" s="174"/>
    </row>
    <row r="25" spans="2:24" s="171" customFormat="1" ht="97.5" customHeight="1">
      <c r="B25" s="342" t="s">
        <v>14</v>
      </c>
      <c r="C25" s="336">
        <v>55</v>
      </c>
      <c r="D25" s="337">
        <v>97146</v>
      </c>
      <c r="E25" s="336">
        <v>0</v>
      </c>
      <c r="F25" s="336">
        <v>0</v>
      </c>
      <c r="G25" s="336">
        <v>4</v>
      </c>
      <c r="H25" s="337">
        <v>92972</v>
      </c>
      <c r="I25" s="338">
        <f t="shared" si="2"/>
        <v>59</v>
      </c>
      <c r="J25" s="339">
        <f t="shared" si="3"/>
        <v>190118</v>
      </c>
      <c r="K25" s="336">
        <v>2</v>
      </c>
      <c r="L25" s="336">
        <f>36+57</f>
        <v>93</v>
      </c>
      <c r="M25" s="337">
        <f>140711+55630</f>
        <v>196341</v>
      </c>
      <c r="N25" s="336">
        <v>67</v>
      </c>
      <c r="O25" s="337">
        <v>347330</v>
      </c>
      <c r="P25" s="336">
        <v>57</v>
      </c>
      <c r="Q25" s="337">
        <v>2539817</v>
      </c>
      <c r="R25" s="338">
        <f t="shared" si="4"/>
        <v>217</v>
      </c>
      <c r="S25" s="340">
        <f t="shared" si="5"/>
        <v>3083488</v>
      </c>
      <c r="T25" s="341">
        <v>39</v>
      </c>
      <c r="U25" s="174"/>
      <c r="V25" s="174"/>
      <c r="W25" s="174"/>
      <c r="X25" s="174"/>
    </row>
    <row r="26" spans="2:24" s="171" customFormat="1" ht="97.5" customHeight="1">
      <c r="B26" s="342" t="s">
        <v>15</v>
      </c>
      <c r="C26" s="336">
        <v>326</v>
      </c>
      <c r="D26" s="337">
        <v>1300846</v>
      </c>
      <c r="E26" s="336">
        <v>280</v>
      </c>
      <c r="F26" s="337">
        <v>1341755</v>
      </c>
      <c r="G26" s="336">
        <v>76</v>
      </c>
      <c r="H26" s="337">
        <v>7788297</v>
      </c>
      <c r="I26" s="338">
        <f t="shared" si="2"/>
        <v>682</v>
      </c>
      <c r="J26" s="339">
        <f t="shared" si="3"/>
        <v>10430898</v>
      </c>
      <c r="K26" s="336">
        <v>29</v>
      </c>
      <c r="L26" s="336">
        <f>654</f>
        <v>654</v>
      </c>
      <c r="M26" s="337">
        <f>1460000+621168</f>
        <v>2081168</v>
      </c>
      <c r="N26" s="336">
        <v>178</v>
      </c>
      <c r="O26" s="337">
        <v>1194693</v>
      </c>
      <c r="P26" s="336">
        <v>61</v>
      </c>
      <c r="Q26" s="337">
        <v>7339713</v>
      </c>
      <c r="R26" s="338">
        <f t="shared" si="4"/>
        <v>893</v>
      </c>
      <c r="S26" s="340">
        <f t="shared" si="5"/>
        <v>10615574</v>
      </c>
      <c r="T26" s="341">
        <v>92</v>
      </c>
      <c r="U26" s="174"/>
      <c r="V26" s="174"/>
      <c r="W26" s="174"/>
      <c r="X26" s="174"/>
    </row>
    <row r="27" spans="2:24" s="171" customFormat="1" ht="97.5" customHeight="1">
      <c r="B27" s="342" t="s">
        <v>16</v>
      </c>
      <c r="C27" s="336">
        <v>64</v>
      </c>
      <c r="D27" s="337">
        <v>921970</v>
      </c>
      <c r="E27" s="336">
        <v>115</v>
      </c>
      <c r="F27" s="337">
        <v>857844</v>
      </c>
      <c r="G27" s="336">
        <v>31</v>
      </c>
      <c r="H27" s="337">
        <v>1608736</v>
      </c>
      <c r="I27" s="338">
        <f t="shared" si="2"/>
        <v>210</v>
      </c>
      <c r="J27" s="339">
        <f t="shared" si="3"/>
        <v>3388550</v>
      </c>
      <c r="K27" s="336">
        <v>21</v>
      </c>
      <c r="L27" s="336">
        <v>70</v>
      </c>
      <c r="M27" s="337">
        <f>9636962+65691</f>
        <v>9702653</v>
      </c>
      <c r="N27" s="336">
        <v>55</v>
      </c>
      <c r="O27" s="337">
        <v>618967</v>
      </c>
      <c r="P27" s="336">
        <v>34</v>
      </c>
      <c r="Q27" s="337">
        <v>1966179</v>
      </c>
      <c r="R27" s="338">
        <f t="shared" si="4"/>
        <v>159</v>
      </c>
      <c r="S27" s="340">
        <f t="shared" si="5"/>
        <v>12287799</v>
      </c>
      <c r="T27" s="341">
        <v>19</v>
      </c>
      <c r="U27" s="174"/>
      <c r="V27" s="174"/>
      <c r="W27" s="174"/>
      <c r="X27" s="174"/>
    </row>
    <row r="28" spans="2:24" s="171" customFormat="1" ht="97.5" customHeight="1">
      <c r="B28" s="342" t="s">
        <v>17</v>
      </c>
      <c r="C28" s="336">
        <v>0</v>
      </c>
      <c r="D28" s="337">
        <v>0</v>
      </c>
      <c r="E28" s="336">
        <v>180</v>
      </c>
      <c r="F28" s="337">
        <v>796792</v>
      </c>
      <c r="G28" s="336">
        <v>13</v>
      </c>
      <c r="H28" s="337">
        <v>1428246</v>
      </c>
      <c r="I28" s="338">
        <f t="shared" si="2"/>
        <v>193</v>
      </c>
      <c r="J28" s="339">
        <f t="shared" si="3"/>
        <v>2225038</v>
      </c>
      <c r="K28" s="336">
        <v>12</v>
      </c>
      <c r="L28" s="336">
        <v>37</v>
      </c>
      <c r="M28" s="337">
        <v>403322</v>
      </c>
      <c r="N28" s="336">
        <v>245</v>
      </c>
      <c r="O28" s="337">
        <v>1577262</v>
      </c>
      <c r="P28" s="336">
        <v>24</v>
      </c>
      <c r="Q28" s="337">
        <v>2579758</v>
      </c>
      <c r="R28" s="338">
        <f t="shared" si="4"/>
        <v>306</v>
      </c>
      <c r="S28" s="340">
        <f t="shared" si="5"/>
        <v>4560342</v>
      </c>
      <c r="T28" s="341">
        <v>93</v>
      </c>
      <c r="U28" s="174"/>
      <c r="V28" s="174"/>
      <c r="W28" s="174"/>
      <c r="X28" s="174"/>
    </row>
    <row r="29" spans="2:24" s="171" customFormat="1" ht="97.5" customHeight="1">
      <c r="B29" s="342" t="s">
        <v>18</v>
      </c>
      <c r="C29" s="336">
        <v>27</v>
      </c>
      <c r="D29" s="337">
        <v>46042</v>
      </c>
      <c r="E29" s="336">
        <v>37</v>
      </c>
      <c r="F29" s="337">
        <v>147774</v>
      </c>
      <c r="G29" s="336">
        <v>28</v>
      </c>
      <c r="H29" s="337">
        <v>3088764</v>
      </c>
      <c r="I29" s="338">
        <f t="shared" si="2"/>
        <v>92</v>
      </c>
      <c r="J29" s="339">
        <f t="shared" si="3"/>
        <v>3282580</v>
      </c>
      <c r="K29" s="336">
        <v>16</v>
      </c>
      <c r="L29" s="336">
        <v>101</v>
      </c>
      <c r="M29" s="337">
        <v>176289</v>
      </c>
      <c r="N29" s="336">
        <v>24</v>
      </c>
      <c r="O29" s="337">
        <v>81375</v>
      </c>
      <c r="P29" s="336">
        <v>37</v>
      </c>
      <c r="Q29" s="337">
        <v>304385</v>
      </c>
      <c r="R29" s="338">
        <f t="shared" si="4"/>
        <v>162</v>
      </c>
      <c r="S29" s="340">
        <f t="shared" si="5"/>
        <v>562049</v>
      </c>
      <c r="T29" s="341">
        <v>9</v>
      </c>
      <c r="U29" s="174"/>
      <c r="V29" s="174"/>
      <c r="W29" s="174"/>
      <c r="X29" s="174"/>
    </row>
    <row r="30" spans="2:24" s="171" customFormat="1" ht="97.5" customHeight="1">
      <c r="B30" s="342" t="s">
        <v>19</v>
      </c>
      <c r="C30" s="336">
        <v>54</v>
      </c>
      <c r="D30" s="337">
        <v>130947</v>
      </c>
      <c r="E30" s="336">
        <v>65</v>
      </c>
      <c r="F30" s="337">
        <v>324027</v>
      </c>
      <c r="G30" s="336"/>
      <c r="H30" s="337"/>
      <c r="I30" s="338">
        <f t="shared" si="2"/>
        <v>119</v>
      </c>
      <c r="J30" s="339">
        <f t="shared" si="3"/>
        <v>454974</v>
      </c>
      <c r="K30" s="336">
        <v>3</v>
      </c>
      <c r="L30" s="336">
        <v>28</v>
      </c>
      <c r="M30" s="337">
        <f>57866+73925</f>
        <v>131791</v>
      </c>
      <c r="N30" s="336">
        <v>4</v>
      </c>
      <c r="O30" s="337">
        <v>33107</v>
      </c>
      <c r="P30" s="336">
        <v>1</v>
      </c>
      <c r="Q30" s="337">
        <v>15376</v>
      </c>
      <c r="R30" s="338">
        <f t="shared" si="4"/>
        <v>33</v>
      </c>
      <c r="S30" s="340">
        <f t="shared" si="5"/>
        <v>180274</v>
      </c>
      <c r="T30" s="341">
        <v>4</v>
      </c>
      <c r="U30" s="174"/>
      <c r="V30" s="174"/>
      <c r="W30" s="174"/>
      <c r="X30" s="174"/>
    </row>
    <row r="31" spans="2:24" s="171" customFormat="1" ht="97.5" customHeight="1">
      <c r="B31" s="342" t="s">
        <v>20</v>
      </c>
      <c r="C31" s="336">
        <v>0</v>
      </c>
      <c r="D31" s="337">
        <v>0</v>
      </c>
      <c r="E31" s="336">
        <v>19</v>
      </c>
      <c r="F31" s="337">
        <v>723082.755</v>
      </c>
      <c r="G31" s="336">
        <v>5</v>
      </c>
      <c r="H31" s="337">
        <v>1289057.2690000001</v>
      </c>
      <c r="I31" s="338">
        <f t="shared" si="2"/>
        <v>24</v>
      </c>
      <c r="J31" s="339">
        <f t="shared" si="3"/>
        <v>2012140.0240000002</v>
      </c>
      <c r="K31" s="336">
        <v>4</v>
      </c>
      <c r="L31" s="336">
        <v>43</v>
      </c>
      <c r="M31" s="337">
        <f>1341266.701+26586.125</f>
        <v>1367852.8259999999</v>
      </c>
      <c r="N31" s="336">
        <v>62</v>
      </c>
      <c r="O31" s="337">
        <v>610911.86600000004</v>
      </c>
      <c r="P31" s="336">
        <v>18</v>
      </c>
      <c r="Q31" s="337">
        <v>1646395.9210000001</v>
      </c>
      <c r="R31" s="338">
        <f t="shared" si="4"/>
        <v>123</v>
      </c>
      <c r="S31" s="340">
        <f t="shared" si="5"/>
        <v>3625160.6129999999</v>
      </c>
      <c r="T31" s="341">
        <v>11</v>
      </c>
      <c r="U31" s="174"/>
      <c r="V31" s="174"/>
      <c r="W31" s="174"/>
      <c r="X31" s="174"/>
    </row>
    <row r="32" spans="2:24" s="171" customFormat="1" ht="97.5" customHeight="1">
      <c r="B32" s="342" t="s">
        <v>21</v>
      </c>
      <c r="C32" s="336">
        <v>0</v>
      </c>
      <c r="D32" s="337">
        <v>0</v>
      </c>
      <c r="E32" s="336">
        <v>242</v>
      </c>
      <c r="F32" s="337">
        <v>1984192.821</v>
      </c>
      <c r="G32" s="336">
        <v>11</v>
      </c>
      <c r="H32" s="337">
        <v>551793.08200000005</v>
      </c>
      <c r="I32" s="338">
        <f t="shared" si="2"/>
        <v>253</v>
      </c>
      <c r="J32" s="339">
        <f t="shared" si="3"/>
        <v>2535985.9029999999</v>
      </c>
      <c r="K32" s="336">
        <v>29</v>
      </c>
      <c r="L32" s="336">
        <v>218</v>
      </c>
      <c r="M32" s="337">
        <v>1384835.1</v>
      </c>
      <c r="N32" s="336">
        <v>210</v>
      </c>
      <c r="O32" s="337">
        <v>2388015.5</v>
      </c>
      <c r="P32" s="336">
        <v>5</v>
      </c>
      <c r="Q32" s="337">
        <v>117844.78</v>
      </c>
      <c r="R32" s="338">
        <f t="shared" si="4"/>
        <v>433</v>
      </c>
      <c r="S32" s="340">
        <f t="shared" si="5"/>
        <v>3890695.38</v>
      </c>
      <c r="T32" s="341">
        <v>30</v>
      </c>
      <c r="U32" s="174"/>
      <c r="V32" s="174"/>
      <c r="W32" s="174"/>
      <c r="X32" s="174"/>
    </row>
    <row r="33" spans="2:24" s="171" customFormat="1" ht="97.5" customHeight="1">
      <c r="B33" s="342" t="s">
        <v>22</v>
      </c>
      <c r="C33" s="336">
        <v>41</v>
      </c>
      <c r="D33" s="337">
        <v>67571</v>
      </c>
      <c r="E33" s="336">
        <v>24</v>
      </c>
      <c r="F33" s="337">
        <v>104630</v>
      </c>
      <c r="G33" s="336">
        <v>47</v>
      </c>
      <c r="H33" s="337">
        <v>3619124</v>
      </c>
      <c r="I33" s="338">
        <f t="shared" si="2"/>
        <v>112</v>
      </c>
      <c r="J33" s="339">
        <f t="shared" si="3"/>
        <v>3791325</v>
      </c>
      <c r="K33" s="336">
        <v>31</v>
      </c>
      <c r="L33" s="336">
        <f>39+92</f>
        <v>131</v>
      </c>
      <c r="M33" s="337">
        <f>96914+228023</f>
        <v>324937</v>
      </c>
      <c r="N33" s="336">
        <v>12</v>
      </c>
      <c r="O33" s="337">
        <v>138140</v>
      </c>
      <c r="P33" s="336">
        <v>21</v>
      </c>
      <c r="Q33" s="337">
        <v>2090788</v>
      </c>
      <c r="R33" s="338">
        <f t="shared" si="4"/>
        <v>164</v>
      </c>
      <c r="S33" s="340">
        <f t="shared" si="5"/>
        <v>2553865</v>
      </c>
      <c r="T33" s="341">
        <v>17</v>
      </c>
      <c r="U33" s="174"/>
      <c r="V33" s="174"/>
      <c r="W33" s="174"/>
      <c r="X33" s="174"/>
    </row>
    <row r="34" spans="2:24" s="171" customFormat="1" ht="97.5" customHeight="1">
      <c r="B34" s="342" t="s">
        <v>23</v>
      </c>
      <c r="C34" s="336">
        <v>0</v>
      </c>
      <c r="D34" s="337">
        <v>0</v>
      </c>
      <c r="E34" s="336">
        <v>0</v>
      </c>
      <c r="F34" s="337">
        <v>0</v>
      </c>
      <c r="G34" s="336">
        <v>0</v>
      </c>
      <c r="H34" s="337">
        <v>0</v>
      </c>
      <c r="I34" s="338">
        <f t="shared" si="2"/>
        <v>0</v>
      </c>
      <c r="J34" s="339">
        <f t="shared" si="3"/>
        <v>0</v>
      </c>
      <c r="K34" s="336">
        <v>0</v>
      </c>
      <c r="L34" s="336">
        <v>0</v>
      </c>
      <c r="M34" s="337">
        <v>0</v>
      </c>
      <c r="N34" s="336">
        <v>0</v>
      </c>
      <c r="O34" s="337">
        <v>0</v>
      </c>
      <c r="P34" s="336">
        <v>0</v>
      </c>
      <c r="Q34" s="337">
        <v>0</v>
      </c>
      <c r="R34" s="338">
        <f t="shared" si="4"/>
        <v>0</v>
      </c>
      <c r="S34" s="340">
        <f t="shared" si="5"/>
        <v>0</v>
      </c>
      <c r="T34" s="341">
        <v>0</v>
      </c>
      <c r="U34" s="174"/>
      <c r="V34" s="174"/>
      <c r="W34" s="174"/>
      <c r="X34" s="174"/>
    </row>
    <row r="35" spans="2:24" s="171" customFormat="1" ht="97.5" customHeight="1">
      <c r="B35" s="342" t="s">
        <v>24</v>
      </c>
      <c r="C35" s="336">
        <v>3</v>
      </c>
      <c r="D35" s="337">
        <v>16694</v>
      </c>
      <c r="E35" s="336">
        <v>16</v>
      </c>
      <c r="F35" s="337">
        <v>31782</v>
      </c>
      <c r="G35" s="336">
        <v>4</v>
      </c>
      <c r="H35" s="337">
        <v>583324</v>
      </c>
      <c r="I35" s="338">
        <f t="shared" si="2"/>
        <v>23</v>
      </c>
      <c r="J35" s="339">
        <f t="shared" si="3"/>
        <v>631800</v>
      </c>
      <c r="K35" s="336">
        <v>4</v>
      </c>
      <c r="L35" s="336">
        <f>45+16</f>
        <v>61</v>
      </c>
      <c r="M35" s="337">
        <f>288788+72836</f>
        <v>361624</v>
      </c>
      <c r="N35" s="336">
        <v>62</v>
      </c>
      <c r="O35" s="337">
        <v>691476</v>
      </c>
      <c r="P35" s="336">
        <v>11</v>
      </c>
      <c r="Q35" s="337">
        <v>2157692</v>
      </c>
      <c r="R35" s="338">
        <f t="shared" si="4"/>
        <v>134</v>
      </c>
      <c r="S35" s="340">
        <f t="shared" si="5"/>
        <v>3210792</v>
      </c>
      <c r="T35" s="341">
        <v>16</v>
      </c>
      <c r="U35" s="174"/>
      <c r="V35" s="174"/>
      <c r="W35" s="174"/>
      <c r="X35" s="174"/>
    </row>
    <row r="36" spans="2:24" s="171" customFormat="1" ht="97.5" customHeight="1" thickBot="1">
      <c r="B36" s="345" t="s">
        <v>25</v>
      </c>
      <c r="C36" s="346">
        <v>10</v>
      </c>
      <c r="D36" s="347">
        <v>44470</v>
      </c>
      <c r="E36" s="346">
        <v>72</v>
      </c>
      <c r="F36" s="347">
        <v>136953</v>
      </c>
      <c r="G36" s="346">
        <v>25</v>
      </c>
      <c r="H36" s="347">
        <v>2139668</v>
      </c>
      <c r="I36" s="348">
        <f t="shared" si="2"/>
        <v>107</v>
      </c>
      <c r="J36" s="349">
        <f t="shared" si="3"/>
        <v>2321091</v>
      </c>
      <c r="K36" s="346">
        <v>5</v>
      </c>
      <c r="L36" s="346">
        <v>50</v>
      </c>
      <c r="M36" s="347">
        <v>50979.714999999997</v>
      </c>
      <c r="N36" s="346">
        <v>46</v>
      </c>
      <c r="O36" s="347">
        <v>259423.533</v>
      </c>
      <c r="P36" s="346">
        <v>7</v>
      </c>
      <c r="Q36" s="347">
        <v>192304.25200000001</v>
      </c>
      <c r="R36" s="348">
        <f t="shared" si="4"/>
        <v>103</v>
      </c>
      <c r="S36" s="350">
        <f t="shared" si="5"/>
        <v>502707.5</v>
      </c>
      <c r="T36" s="351">
        <v>7</v>
      </c>
      <c r="U36" s="174"/>
      <c r="V36" s="174"/>
      <c r="W36" s="174"/>
      <c r="X36" s="174"/>
    </row>
    <row r="37" spans="2:24" s="171" customFormat="1" ht="150" customHeight="1" thickBot="1">
      <c r="B37" s="400" t="s">
        <v>34</v>
      </c>
      <c r="C37" s="259">
        <f t="shared" ref="C37:G37" si="6">SUM(C8:C36)</f>
        <v>1558</v>
      </c>
      <c r="D37" s="279">
        <f t="shared" si="6"/>
        <v>48109304.119999997</v>
      </c>
      <c r="E37" s="259">
        <f t="shared" si="6"/>
        <v>5242</v>
      </c>
      <c r="F37" s="279">
        <f t="shared" si="6"/>
        <v>102571221.46599999</v>
      </c>
      <c r="G37" s="259">
        <f t="shared" si="6"/>
        <v>1401</v>
      </c>
      <c r="H37" s="279">
        <f>SUM(H8:H36)</f>
        <v>890061349.69099998</v>
      </c>
      <c r="I37" s="401">
        <f>SUM(I8:I36)</f>
        <v>8201</v>
      </c>
      <c r="J37" s="402">
        <f>SUM(J8:J36)</f>
        <v>1040741875.277</v>
      </c>
      <c r="K37" s="399">
        <f>SUM(K8:K36)</f>
        <v>1130</v>
      </c>
      <c r="L37" s="263">
        <f>SUM(L8:L36)</f>
        <v>4670</v>
      </c>
      <c r="M37" s="279">
        <f t="shared" ref="M37:Q37" si="7">SUM(M8:M36)</f>
        <v>129854098.832</v>
      </c>
      <c r="N37" s="263">
        <f t="shared" si="7"/>
        <v>3802</v>
      </c>
      <c r="O37" s="279">
        <f t="shared" si="7"/>
        <v>94140178.147</v>
      </c>
      <c r="P37" s="263">
        <f t="shared" si="7"/>
        <v>1045</v>
      </c>
      <c r="Q37" s="279">
        <f t="shared" si="7"/>
        <v>381105336.90699995</v>
      </c>
      <c r="R37" s="401">
        <f>SUM(R8:R36)</f>
        <v>9517</v>
      </c>
      <c r="S37" s="402">
        <f>SUM(S8:S36)</f>
        <v>605099613.88600004</v>
      </c>
      <c r="T37" s="399">
        <f>SUM(T8:T36)</f>
        <v>2470</v>
      </c>
      <c r="U37" s="175"/>
      <c r="V37" s="175"/>
      <c r="W37" s="175"/>
      <c r="X37" s="175"/>
    </row>
    <row r="38" spans="2:24" s="176" customFormat="1" ht="150" customHeight="1" thickBot="1">
      <c r="B38" s="400"/>
      <c r="C38" s="210" t="s">
        <v>56</v>
      </c>
      <c r="D38" s="210">
        <f>C37+E37+G37</f>
        <v>8201</v>
      </c>
      <c r="E38" s="399" t="s">
        <v>57</v>
      </c>
      <c r="F38" s="399"/>
      <c r="G38" s="406">
        <f>D37+F37+H37</f>
        <v>1040741875.277</v>
      </c>
      <c r="H38" s="407"/>
      <c r="I38" s="401"/>
      <c r="J38" s="402"/>
      <c r="K38" s="399"/>
      <c r="L38" s="262" t="s">
        <v>56</v>
      </c>
      <c r="M38" s="262">
        <f>L37+N37+P37</f>
        <v>9517</v>
      </c>
      <c r="N38" s="399" t="s">
        <v>57</v>
      </c>
      <c r="O38" s="399"/>
      <c r="P38" s="403">
        <f>M37+O37+Q37</f>
        <v>605099613.88599992</v>
      </c>
      <c r="Q38" s="403"/>
      <c r="R38" s="401"/>
      <c r="S38" s="402"/>
      <c r="T38" s="399"/>
      <c r="U38" s="175"/>
      <c r="V38" s="175"/>
      <c r="W38" s="175"/>
      <c r="X38" s="175"/>
    </row>
    <row r="39" spans="2:24" s="68" customFormat="1" ht="32.25" customHeight="1">
      <c r="B39" s="69"/>
      <c r="C39" s="70"/>
      <c r="D39" s="70"/>
      <c r="E39" s="20"/>
      <c r="F39" s="20"/>
      <c r="G39" s="20"/>
      <c r="H39" s="20"/>
      <c r="I39" s="20"/>
      <c r="J39" s="404"/>
      <c r="K39" s="174"/>
      <c r="L39" s="20"/>
      <c r="M39" s="20"/>
      <c r="N39" s="70"/>
      <c r="O39" s="20"/>
      <c r="P39" s="20"/>
      <c r="Q39" s="20"/>
      <c r="R39" s="71"/>
      <c r="S39" s="70"/>
    </row>
    <row r="40" spans="2:24">
      <c r="H40" s="67"/>
      <c r="J40" s="405"/>
      <c r="K40" s="265"/>
      <c r="L40" s="266"/>
      <c r="M40" s="266"/>
      <c r="N40" s="81"/>
      <c r="O40" s="266"/>
      <c r="P40" s="81"/>
      <c r="Q40" s="266"/>
      <c r="R40" s="81"/>
      <c r="S40" s="81"/>
    </row>
    <row r="41" spans="2:24">
      <c r="H41" s="67"/>
    </row>
    <row r="42" spans="2:24">
      <c r="H42" s="67"/>
    </row>
    <row r="43" spans="2:24">
      <c r="H43" s="67"/>
    </row>
    <row r="44" spans="2:24">
      <c r="H44" s="67"/>
    </row>
    <row r="45" spans="2:24">
      <c r="H45" s="67"/>
    </row>
    <row r="46" spans="2:24">
      <c r="H46" s="67"/>
    </row>
    <row r="47" spans="2:24">
      <c r="H47" s="67"/>
    </row>
    <row r="48" spans="2:24">
      <c r="H48" s="67"/>
    </row>
    <row r="49" spans="8:15" s="62" customFormat="1">
      <c r="H49" s="67"/>
      <c r="K49" s="171"/>
    </row>
    <row r="50" spans="8:15" s="62" customFormat="1">
      <c r="H50" s="67"/>
      <c r="K50" s="171"/>
    </row>
    <row r="51" spans="8:15" s="62" customFormat="1">
      <c r="H51" s="67"/>
      <c r="K51" s="171"/>
    </row>
    <row r="52" spans="8:15" s="62" customFormat="1">
      <c r="H52" s="67"/>
      <c r="K52" s="171"/>
    </row>
    <row r="53" spans="8:15" s="62" customFormat="1">
      <c r="H53" s="67"/>
      <c r="K53" s="171"/>
    </row>
    <row r="54" spans="8:15" s="62" customFormat="1">
      <c r="H54" s="67"/>
      <c r="K54" s="171"/>
    </row>
    <row r="55" spans="8:15" s="62" customFormat="1">
      <c r="H55" s="67"/>
      <c r="K55" s="171"/>
    </row>
    <row r="56" spans="8:15" s="62" customFormat="1" ht="90">
      <c r="H56" s="67"/>
      <c r="K56" s="171"/>
      <c r="O56" s="132"/>
    </row>
    <row r="57" spans="8:15" s="62" customFormat="1">
      <c r="H57" s="67"/>
      <c r="K57" s="171"/>
    </row>
    <row r="58" spans="8:15" s="62" customFormat="1">
      <c r="H58" s="67"/>
      <c r="K58" s="171"/>
    </row>
    <row r="59" spans="8:15" s="62" customFormat="1">
      <c r="H59" s="67"/>
      <c r="K59" s="171"/>
    </row>
    <row r="60" spans="8:15" s="62" customFormat="1">
      <c r="H60" s="67"/>
      <c r="K60" s="171"/>
    </row>
    <row r="61" spans="8:15" s="62" customFormat="1">
      <c r="H61" s="67"/>
      <c r="K61" s="171"/>
    </row>
    <row r="62" spans="8:15" s="62" customFormat="1">
      <c r="H62" s="67"/>
      <c r="K62" s="171"/>
    </row>
    <row r="63" spans="8:15" s="62" customFormat="1">
      <c r="H63" s="67"/>
      <c r="K63" s="171"/>
    </row>
    <row r="64" spans="8:15" s="62" customFormat="1">
      <c r="H64" s="67"/>
      <c r="K64" s="171"/>
    </row>
    <row r="65" spans="8:11" s="62" customFormat="1">
      <c r="H65" s="67"/>
      <c r="K65" s="171"/>
    </row>
    <row r="66" spans="8:11" s="62" customFormat="1">
      <c r="H66" s="67"/>
      <c r="K66" s="171"/>
    </row>
    <row r="67" spans="8:11" s="62" customFormat="1">
      <c r="H67" s="67"/>
      <c r="K67" s="171"/>
    </row>
    <row r="68" spans="8:11" s="62" customFormat="1">
      <c r="H68" s="67"/>
      <c r="K68" s="171"/>
    </row>
    <row r="69" spans="8:11" s="62" customFormat="1">
      <c r="H69" s="67"/>
      <c r="K69" s="171"/>
    </row>
    <row r="70" spans="8:11" s="62" customFormat="1">
      <c r="H70" s="67"/>
      <c r="K70" s="171"/>
    </row>
    <row r="71" spans="8:11" s="62" customFormat="1">
      <c r="H71" s="67"/>
      <c r="K71" s="171"/>
    </row>
    <row r="72" spans="8:11" s="62" customFormat="1">
      <c r="H72" s="67"/>
      <c r="K72" s="171"/>
    </row>
    <row r="73" spans="8:11" s="62" customFormat="1">
      <c r="H73" s="67"/>
      <c r="K73" s="171"/>
    </row>
    <row r="74" spans="8:11" s="62" customFormat="1">
      <c r="H74" s="67"/>
      <c r="K74" s="171"/>
    </row>
    <row r="75" spans="8:11" s="62" customFormat="1">
      <c r="H75" s="67"/>
      <c r="K75" s="171"/>
    </row>
    <row r="76" spans="8:11" s="62" customFormat="1">
      <c r="H76" s="67"/>
      <c r="K76" s="171"/>
    </row>
    <row r="77" spans="8:11" s="62" customFormat="1">
      <c r="H77" s="67"/>
      <c r="K77" s="171"/>
    </row>
    <row r="78" spans="8:11" s="62" customFormat="1">
      <c r="H78" s="67"/>
      <c r="K78" s="171"/>
    </row>
    <row r="79" spans="8:11" s="62" customFormat="1">
      <c r="H79" s="67"/>
      <c r="K79" s="171"/>
    </row>
    <row r="80" spans="8:11" s="62" customFormat="1">
      <c r="H80" s="67"/>
      <c r="K80" s="171"/>
    </row>
    <row r="81" spans="8:11" s="62" customFormat="1">
      <c r="H81" s="67"/>
      <c r="K81" s="171"/>
    </row>
    <row r="82" spans="8:11" s="62" customFormat="1">
      <c r="H82" s="67"/>
      <c r="K82" s="171"/>
    </row>
    <row r="83" spans="8:11" s="62" customFormat="1">
      <c r="H83" s="67"/>
      <c r="K83" s="171"/>
    </row>
    <row r="84" spans="8:11" s="62" customFormat="1">
      <c r="H84" s="67"/>
      <c r="K84" s="171"/>
    </row>
    <row r="85" spans="8:11" s="62" customFormat="1">
      <c r="H85" s="67"/>
      <c r="K85" s="171"/>
    </row>
    <row r="86" spans="8:11" s="62" customFormat="1">
      <c r="H86" s="67"/>
      <c r="K86" s="171"/>
    </row>
    <row r="87" spans="8:11" s="62" customFormat="1">
      <c r="H87" s="67"/>
      <c r="K87" s="171"/>
    </row>
    <row r="88" spans="8:11" s="62" customFormat="1">
      <c r="H88" s="67"/>
      <c r="K88" s="171"/>
    </row>
    <row r="89" spans="8:11" s="62" customFormat="1">
      <c r="H89" s="67"/>
      <c r="K89" s="171"/>
    </row>
    <row r="90" spans="8:11" s="62" customFormat="1">
      <c r="H90" s="67"/>
      <c r="K90" s="171"/>
    </row>
    <row r="91" spans="8:11" s="62" customFormat="1">
      <c r="H91" s="67"/>
      <c r="K91" s="171"/>
    </row>
    <row r="92" spans="8:11" s="62" customFormat="1">
      <c r="H92" s="67"/>
      <c r="K92" s="171"/>
    </row>
    <row r="93" spans="8:11" s="62" customFormat="1">
      <c r="H93" s="67"/>
      <c r="K93" s="171"/>
    </row>
    <row r="94" spans="8:11" s="62" customFormat="1">
      <c r="H94" s="67"/>
      <c r="K94" s="171"/>
    </row>
    <row r="95" spans="8:11" s="62" customFormat="1">
      <c r="H95" s="67"/>
      <c r="K95" s="171"/>
    </row>
    <row r="96" spans="8:11" s="62" customFormat="1">
      <c r="H96" s="67"/>
      <c r="K96" s="171"/>
    </row>
    <row r="97" spans="8:11" s="62" customFormat="1">
      <c r="H97" s="67"/>
      <c r="K97" s="171"/>
    </row>
    <row r="98" spans="8:11" s="62" customFormat="1">
      <c r="H98" s="67"/>
      <c r="K98" s="171"/>
    </row>
    <row r="99" spans="8:11" s="62" customFormat="1">
      <c r="H99" s="67"/>
      <c r="K99" s="171"/>
    </row>
    <row r="100" spans="8:11" s="62" customFormat="1">
      <c r="H100" s="67"/>
      <c r="K100" s="171"/>
    </row>
    <row r="101" spans="8:11" s="62" customFormat="1">
      <c r="H101" s="67"/>
      <c r="K101" s="171"/>
    </row>
    <row r="102" spans="8:11" s="62" customFormat="1">
      <c r="H102" s="67"/>
      <c r="K102" s="171"/>
    </row>
    <row r="103" spans="8:11" s="62" customFormat="1">
      <c r="H103" s="67"/>
      <c r="K103" s="171"/>
    </row>
    <row r="104" spans="8:11" s="62" customFormat="1">
      <c r="H104" s="67"/>
      <c r="K104" s="171"/>
    </row>
    <row r="105" spans="8:11" s="62" customFormat="1">
      <c r="H105" s="67"/>
      <c r="K105" s="171"/>
    </row>
    <row r="106" spans="8:11" s="62" customFormat="1">
      <c r="H106" s="67"/>
      <c r="K106" s="171"/>
    </row>
    <row r="107" spans="8:11" s="62" customFormat="1">
      <c r="H107" s="67"/>
      <c r="K107" s="171"/>
    </row>
    <row r="108" spans="8:11" s="62" customFormat="1">
      <c r="H108" s="67"/>
      <c r="K108" s="171"/>
    </row>
    <row r="109" spans="8:11" s="62" customFormat="1">
      <c r="H109" s="67"/>
      <c r="K109" s="171"/>
    </row>
    <row r="110" spans="8:11" s="62" customFormat="1">
      <c r="H110" s="67"/>
      <c r="K110" s="171"/>
    </row>
    <row r="111" spans="8:11" s="62" customFormat="1">
      <c r="H111" s="67"/>
      <c r="K111" s="171"/>
    </row>
    <row r="112" spans="8:11" s="62" customFormat="1">
      <c r="H112" s="67"/>
      <c r="K112" s="171"/>
    </row>
    <row r="113" spans="8:11" s="62" customFormat="1">
      <c r="H113" s="67"/>
      <c r="K113" s="171"/>
    </row>
    <row r="114" spans="8:11" s="62" customFormat="1">
      <c r="H114" s="67"/>
      <c r="K114" s="171"/>
    </row>
    <row r="115" spans="8:11" s="62" customFormat="1">
      <c r="H115" s="67"/>
      <c r="K115" s="171"/>
    </row>
    <row r="116" spans="8:11" s="62" customFormat="1">
      <c r="H116" s="67"/>
      <c r="K116" s="171"/>
    </row>
    <row r="117" spans="8:11" s="62" customFormat="1">
      <c r="H117" s="67"/>
      <c r="K117" s="171"/>
    </row>
    <row r="118" spans="8:11" s="62" customFormat="1">
      <c r="H118" s="67"/>
      <c r="K118" s="171"/>
    </row>
    <row r="119" spans="8:11" s="62" customFormat="1">
      <c r="H119" s="67"/>
      <c r="K119" s="171"/>
    </row>
    <row r="120" spans="8:11" s="62" customFormat="1">
      <c r="H120" s="67"/>
      <c r="K120" s="171"/>
    </row>
    <row r="121" spans="8:11" s="62" customFormat="1">
      <c r="H121" s="67"/>
      <c r="K121" s="171"/>
    </row>
    <row r="122" spans="8:11" s="62" customFormat="1">
      <c r="H122" s="67"/>
      <c r="K122" s="171"/>
    </row>
    <row r="123" spans="8:11" s="62" customFormat="1">
      <c r="H123" s="67"/>
      <c r="K123" s="171"/>
    </row>
    <row r="124" spans="8:11" s="62" customFormat="1">
      <c r="H124" s="67"/>
      <c r="K124" s="171"/>
    </row>
    <row r="125" spans="8:11" s="62" customFormat="1">
      <c r="H125" s="67"/>
      <c r="K125" s="171"/>
    </row>
    <row r="126" spans="8:11" s="62" customFormat="1">
      <c r="H126" s="67"/>
      <c r="K126" s="171"/>
    </row>
    <row r="127" spans="8:11" s="62" customFormat="1">
      <c r="H127" s="67"/>
      <c r="K127" s="171"/>
    </row>
    <row r="128" spans="8:11" s="62" customFormat="1">
      <c r="H128" s="67"/>
      <c r="K128" s="171"/>
    </row>
    <row r="129" spans="8:11" s="62" customFormat="1">
      <c r="H129" s="67"/>
      <c r="K129" s="171"/>
    </row>
    <row r="130" spans="8:11" s="62" customFormat="1">
      <c r="H130" s="67"/>
      <c r="K130" s="171"/>
    </row>
    <row r="131" spans="8:11" s="62" customFormat="1">
      <c r="H131" s="67"/>
      <c r="K131" s="171"/>
    </row>
    <row r="132" spans="8:11" s="62" customFormat="1">
      <c r="H132" s="67"/>
      <c r="K132" s="171"/>
    </row>
    <row r="133" spans="8:11" s="62" customFormat="1">
      <c r="H133" s="67"/>
      <c r="K133" s="171"/>
    </row>
    <row r="134" spans="8:11" s="62" customFormat="1">
      <c r="H134" s="67"/>
      <c r="K134" s="171"/>
    </row>
    <row r="135" spans="8:11" s="62" customFormat="1">
      <c r="H135" s="67"/>
      <c r="K135" s="171"/>
    </row>
    <row r="136" spans="8:11" s="62" customFormat="1">
      <c r="H136" s="67"/>
      <c r="K136" s="171"/>
    </row>
    <row r="137" spans="8:11" s="62" customFormat="1">
      <c r="H137" s="67"/>
      <c r="K137" s="171"/>
    </row>
    <row r="138" spans="8:11" s="62" customFormat="1">
      <c r="H138" s="67"/>
      <c r="K138" s="171"/>
    </row>
    <row r="139" spans="8:11" s="62" customFormat="1">
      <c r="H139" s="67"/>
      <c r="K139" s="171"/>
    </row>
    <row r="140" spans="8:11" s="62" customFormat="1">
      <c r="H140" s="67"/>
      <c r="K140" s="171"/>
    </row>
    <row r="141" spans="8:11" s="62" customFormat="1">
      <c r="H141" s="67"/>
      <c r="K141" s="171"/>
    </row>
    <row r="142" spans="8:11" s="62" customFormat="1">
      <c r="H142" s="67"/>
      <c r="K142" s="171"/>
    </row>
    <row r="143" spans="8:11" s="62" customFormat="1">
      <c r="H143" s="67"/>
      <c r="K143" s="171"/>
    </row>
    <row r="144" spans="8:11" s="62" customFormat="1">
      <c r="H144" s="67"/>
      <c r="K144" s="171"/>
    </row>
    <row r="145" spans="8:11" s="62" customFormat="1">
      <c r="H145" s="67"/>
      <c r="K145" s="171"/>
    </row>
    <row r="146" spans="8:11" s="62" customFormat="1">
      <c r="H146" s="67"/>
      <c r="K146" s="171"/>
    </row>
    <row r="147" spans="8:11" s="62" customFormat="1">
      <c r="H147" s="67"/>
      <c r="K147" s="171"/>
    </row>
    <row r="148" spans="8:11" s="62" customFormat="1">
      <c r="H148" s="67"/>
      <c r="K148" s="171"/>
    </row>
    <row r="149" spans="8:11" s="62" customFormat="1">
      <c r="H149" s="67"/>
      <c r="K149" s="171"/>
    </row>
    <row r="150" spans="8:11" s="62" customFormat="1">
      <c r="H150" s="67"/>
      <c r="K150" s="171"/>
    </row>
    <row r="151" spans="8:11" s="62" customFormat="1">
      <c r="H151" s="67"/>
      <c r="K151" s="171"/>
    </row>
    <row r="152" spans="8:11" s="62" customFormat="1">
      <c r="H152" s="67"/>
      <c r="K152" s="171"/>
    </row>
    <row r="153" spans="8:11" s="62" customFormat="1">
      <c r="H153" s="67"/>
      <c r="K153" s="171"/>
    </row>
    <row r="154" spans="8:11" s="62" customFormat="1">
      <c r="H154" s="67"/>
      <c r="K154" s="171"/>
    </row>
    <row r="155" spans="8:11" s="62" customFormat="1">
      <c r="H155" s="67"/>
      <c r="K155" s="171"/>
    </row>
    <row r="156" spans="8:11" s="62" customFormat="1">
      <c r="H156" s="67"/>
      <c r="K156" s="171"/>
    </row>
    <row r="157" spans="8:11" s="62" customFormat="1">
      <c r="H157" s="67"/>
      <c r="K157" s="171"/>
    </row>
    <row r="158" spans="8:11" s="62" customFormat="1">
      <c r="H158" s="67"/>
      <c r="K158" s="171"/>
    </row>
    <row r="159" spans="8:11" s="62" customFormat="1">
      <c r="H159" s="67"/>
      <c r="K159" s="171"/>
    </row>
    <row r="160" spans="8:11" s="62" customFormat="1">
      <c r="H160" s="67"/>
      <c r="K160" s="171"/>
    </row>
    <row r="161" spans="8:11" s="62" customFormat="1">
      <c r="H161" s="67"/>
      <c r="K161" s="171"/>
    </row>
    <row r="162" spans="8:11" s="62" customFormat="1">
      <c r="H162" s="67"/>
      <c r="K162" s="171"/>
    </row>
    <row r="163" spans="8:11" s="62" customFormat="1">
      <c r="H163" s="67"/>
      <c r="K163" s="171"/>
    </row>
    <row r="164" spans="8:11" s="62" customFormat="1">
      <c r="H164" s="67"/>
      <c r="K164" s="171"/>
    </row>
    <row r="165" spans="8:11" s="62" customFormat="1">
      <c r="H165" s="67"/>
      <c r="K165" s="171"/>
    </row>
    <row r="166" spans="8:11" s="62" customFormat="1">
      <c r="H166" s="67"/>
      <c r="K166" s="171"/>
    </row>
    <row r="167" spans="8:11" s="62" customFormat="1">
      <c r="H167" s="67"/>
      <c r="K167" s="171"/>
    </row>
    <row r="168" spans="8:11" s="62" customFormat="1">
      <c r="H168" s="67"/>
      <c r="K168" s="171"/>
    </row>
    <row r="169" spans="8:11" s="62" customFormat="1">
      <c r="H169" s="67"/>
      <c r="K169" s="171"/>
    </row>
    <row r="170" spans="8:11" s="62" customFormat="1">
      <c r="H170" s="67"/>
      <c r="K170" s="171"/>
    </row>
    <row r="171" spans="8:11" s="62" customFormat="1">
      <c r="H171" s="67"/>
      <c r="K171" s="171"/>
    </row>
    <row r="172" spans="8:11" s="62" customFormat="1">
      <c r="H172" s="67"/>
      <c r="K172" s="171"/>
    </row>
    <row r="173" spans="8:11" s="62" customFormat="1">
      <c r="H173" s="67"/>
      <c r="K173" s="171"/>
    </row>
    <row r="174" spans="8:11" s="62" customFormat="1">
      <c r="H174" s="67"/>
      <c r="K174" s="171"/>
    </row>
    <row r="175" spans="8:11" s="62" customFormat="1">
      <c r="H175" s="67"/>
      <c r="K175" s="171"/>
    </row>
    <row r="176" spans="8:11" s="62" customFormat="1">
      <c r="H176" s="67"/>
      <c r="K176" s="171"/>
    </row>
    <row r="177" spans="8:11" s="62" customFormat="1">
      <c r="H177" s="67"/>
      <c r="K177" s="171"/>
    </row>
    <row r="178" spans="8:11" s="62" customFormat="1">
      <c r="H178" s="67"/>
      <c r="K178" s="171"/>
    </row>
    <row r="179" spans="8:11" s="62" customFormat="1">
      <c r="H179" s="67"/>
      <c r="K179" s="171"/>
    </row>
    <row r="180" spans="8:11" s="62" customFormat="1">
      <c r="H180" s="67"/>
      <c r="K180" s="171"/>
    </row>
    <row r="181" spans="8:11" s="62" customFormat="1">
      <c r="H181" s="67"/>
      <c r="K181" s="171"/>
    </row>
    <row r="182" spans="8:11" s="62" customFormat="1">
      <c r="H182" s="67"/>
      <c r="K182" s="171"/>
    </row>
    <row r="183" spans="8:11" s="62" customFormat="1">
      <c r="H183" s="67"/>
      <c r="K183" s="171"/>
    </row>
    <row r="184" spans="8:11" s="62" customFormat="1">
      <c r="H184" s="67"/>
      <c r="K184" s="171"/>
    </row>
    <row r="185" spans="8:11" s="62" customFormat="1">
      <c r="H185" s="67"/>
      <c r="K185" s="171"/>
    </row>
    <row r="186" spans="8:11" s="62" customFormat="1">
      <c r="H186" s="67"/>
      <c r="K186" s="171"/>
    </row>
    <row r="187" spans="8:11" s="62" customFormat="1">
      <c r="H187" s="67"/>
      <c r="K187" s="171"/>
    </row>
    <row r="188" spans="8:11" s="62" customFormat="1">
      <c r="H188" s="67"/>
      <c r="K188" s="171"/>
    </row>
    <row r="189" spans="8:11" s="62" customFormat="1">
      <c r="H189" s="67"/>
      <c r="K189" s="171"/>
    </row>
    <row r="190" spans="8:11" s="62" customFormat="1">
      <c r="H190" s="67"/>
      <c r="K190" s="171"/>
    </row>
    <row r="191" spans="8:11" s="62" customFormat="1">
      <c r="H191" s="67"/>
      <c r="K191" s="171"/>
    </row>
    <row r="192" spans="8:11" s="62" customFormat="1">
      <c r="H192" s="67"/>
      <c r="K192" s="171"/>
    </row>
    <row r="193" spans="8:11" s="62" customFormat="1">
      <c r="H193" s="67"/>
      <c r="K193" s="171"/>
    </row>
    <row r="194" spans="8:11" s="62" customFormat="1">
      <c r="H194" s="67"/>
      <c r="K194" s="171"/>
    </row>
    <row r="195" spans="8:11" s="62" customFormat="1">
      <c r="H195" s="67"/>
      <c r="K195" s="171"/>
    </row>
    <row r="196" spans="8:11" s="62" customFormat="1">
      <c r="H196" s="67"/>
      <c r="K196" s="171"/>
    </row>
    <row r="197" spans="8:11" s="62" customFormat="1">
      <c r="H197" s="67"/>
      <c r="K197" s="171"/>
    </row>
    <row r="198" spans="8:11" s="62" customFormat="1">
      <c r="H198" s="67"/>
      <c r="K198" s="171"/>
    </row>
    <row r="199" spans="8:11" s="62" customFormat="1">
      <c r="H199" s="67"/>
      <c r="K199" s="171"/>
    </row>
    <row r="200" spans="8:11" s="62" customFormat="1">
      <c r="H200" s="67"/>
      <c r="K200" s="171"/>
    </row>
    <row r="201" spans="8:11" s="62" customFormat="1">
      <c r="H201" s="67"/>
      <c r="K201" s="171"/>
    </row>
    <row r="202" spans="8:11" s="62" customFormat="1">
      <c r="H202" s="67"/>
      <c r="K202" s="171"/>
    </row>
    <row r="203" spans="8:11" s="62" customFormat="1">
      <c r="H203" s="67"/>
      <c r="K203" s="171"/>
    </row>
    <row r="204" spans="8:11" s="62" customFormat="1">
      <c r="H204" s="67"/>
      <c r="K204" s="171"/>
    </row>
    <row r="205" spans="8:11" s="62" customFormat="1">
      <c r="H205" s="67"/>
      <c r="K205" s="171"/>
    </row>
    <row r="206" spans="8:11" s="62" customFormat="1">
      <c r="H206" s="67"/>
      <c r="K206" s="171"/>
    </row>
    <row r="207" spans="8:11" s="62" customFormat="1">
      <c r="H207" s="67"/>
      <c r="K207" s="171"/>
    </row>
    <row r="208" spans="8:11" s="62" customFormat="1">
      <c r="H208" s="67"/>
      <c r="K208" s="171"/>
    </row>
    <row r="209" spans="8:11" s="62" customFormat="1">
      <c r="H209" s="67"/>
      <c r="K209" s="171"/>
    </row>
    <row r="210" spans="8:11" s="62" customFormat="1">
      <c r="H210" s="67"/>
      <c r="K210" s="171"/>
    </row>
    <row r="211" spans="8:11" s="62" customFormat="1">
      <c r="H211" s="67"/>
      <c r="K211" s="171"/>
    </row>
    <row r="212" spans="8:11" s="62" customFormat="1">
      <c r="H212" s="67"/>
      <c r="K212" s="171"/>
    </row>
    <row r="213" spans="8:11" s="62" customFormat="1">
      <c r="H213" s="67"/>
      <c r="K213" s="171"/>
    </row>
    <row r="214" spans="8:11" s="62" customFormat="1">
      <c r="H214" s="67"/>
      <c r="K214" s="171"/>
    </row>
    <row r="215" spans="8:11" s="62" customFormat="1">
      <c r="H215" s="67"/>
      <c r="K215" s="171"/>
    </row>
    <row r="216" spans="8:11" s="62" customFormat="1">
      <c r="H216" s="67"/>
      <c r="K216" s="171"/>
    </row>
    <row r="217" spans="8:11" s="62" customFormat="1">
      <c r="H217" s="67"/>
      <c r="K217" s="171"/>
    </row>
    <row r="218" spans="8:11" s="62" customFormat="1">
      <c r="H218" s="67"/>
      <c r="K218" s="171"/>
    </row>
    <row r="219" spans="8:11" s="62" customFormat="1">
      <c r="H219" s="67"/>
      <c r="K219" s="171"/>
    </row>
    <row r="220" spans="8:11" s="62" customFormat="1">
      <c r="H220" s="67"/>
      <c r="K220" s="171"/>
    </row>
    <row r="221" spans="8:11" s="62" customFormat="1">
      <c r="H221" s="67"/>
      <c r="K221" s="171"/>
    </row>
    <row r="222" spans="8:11" s="62" customFormat="1">
      <c r="H222" s="67"/>
      <c r="K222" s="171"/>
    </row>
    <row r="223" spans="8:11" s="62" customFormat="1">
      <c r="H223" s="67"/>
      <c r="K223" s="171"/>
    </row>
    <row r="224" spans="8:11" s="62" customFormat="1">
      <c r="H224" s="67"/>
      <c r="K224" s="171"/>
    </row>
    <row r="225" spans="8:11" s="62" customFormat="1">
      <c r="H225" s="67"/>
      <c r="K225" s="171"/>
    </row>
    <row r="226" spans="8:11" s="62" customFormat="1">
      <c r="H226" s="67"/>
      <c r="K226" s="171"/>
    </row>
    <row r="227" spans="8:11" s="62" customFormat="1">
      <c r="H227" s="67"/>
      <c r="K227" s="171"/>
    </row>
    <row r="228" spans="8:11" s="62" customFormat="1">
      <c r="H228" s="67"/>
      <c r="K228" s="171"/>
    </row>
    <row r="229" spans="8:11" s="62" customFormat="1">
      <c r="H229" s="67"/>
      <c r="K229" s="171"/>
    </row>
    <row r="230" spans="8:11" s="62" customFormat="1">
      <c r="H230" s="67"/>
      <c r="K230" s="171"/>
    </row>
    <row r="231" spans="8:11" s="62" customFormat="1">
      <c r="H231" s="67"/>
      <c r="K231" s="171"/>
    </row>
    <row r="232" spans="8:11" s="62" customFormat="1">
      <c r="H232" s="67"/>
      <c r="K232" s="171"/>
    </row>
    <row r="233" spans="8:11" s="62" customFormat="1">
      <c r="H233" s="67"/>
      <c r="K233" s="171"/>
    </row>
    <row r="234" spans="8:11" s="62" customFormat="1">
      <c r="H234" s="67"/>
      <c r="K234" s="171"/>
    </row>
    <row r="235" spans="8:11" s="62" customFormat="1">
      <c r="H235" s="67"/>
      <c r="K235" s="171"/>
    </row>
    <row r="236" spans="8:11" s="62" customFormat="1">
      <c r="H236" s="67"/>
      <c r="K236" s="171"/>
    </row>
    <row r="237" spans="8:11" s="62" customFormat="1">
      <c r="H237" s="67"/>
      <c r="K237" s="171"/>
    </row>
    <row r="238" spans="8:11" s="62" customFormat="1">
      <c r="H238" s="67"/>
      <c r="K238" s="171"/>
    </row>
    <row r="239" spans="8:11" s="62" customFormat="1">
      <c r="H239" s="67"/>
      <c r="K239" s="171"/>
    </row>
    <row r="240" spans="8:11" s="62" customFormat="1">
      <c r="H240" s="67"/>
      <c r="K240" s="171"/>
    </row>
    <row r="241" spans="8:11" s="62" customFormat="1">
      <c r="H241" s="67"/>
      <c r="K241" s="171"/>
    </row>
    <row r="242" spans="8:11" s="62" customFormat="1">
      <c r="H242" s="67"/>
      <c r="K242" s="171"/>
    </row>
    <row r="243" spans="8:11" s="62" customFormat="1">
      <c r="H243" s="67"/>
      <c r="K243" s="171"/>
    </row>
    <row r="244" spans="8:11" s="62" customFormat="1">
      <c r="H244" s="67"/>
      <c r="K244" s="171"/>
    </row>
    <row r="245" spans="8:11" s="62" customFormat="1">
      <c r="H245" s="67"/>
      <c r="K245" s="171"/>
    </row>
    <row r="246" spans="8:11" s="62" customFormat="1">
      <c r="H246" s="67"/>
      <c r="K246" s="171"/>
    </row>
    <row r="247" spans="8:11" s="62" customFormat="1">
      <c r="H247" s="67"/>
      <c r="K247" s="171"/>
    </row>
    <row r="248" spans="8:11" s="62" customFormat="1">
      <c r="H248" s="67"/>
      <c r="K248" s="171"/>
    </row>
    <row r="249" spans="8:11" s="62" customFormat="1">
      <c r="H249" s="67"/>
      <c r="K249" s="171"/>
    </row>
    <row r="250" spans="8:11" s="62" customFormat="1">
      <c r="H250" s="67"/>
      <c r="K250" s="171"/>
    </row>
    <row r="251" spans="8:11" s="62" customFormat="1">
      <c r="H251" s="67"/>
      <c r="K251" s="171"/>
    </row>
    <row r="252" spans="8:11" s="62" customFormat="1">
      <c r="H252" s="67"/>
      <c r="K252" s="171"/>
    </row>
    <row r="253" spans="8:11" s="62" customFormat="1">
      <c r="H253" s="67"/>
      <c r="K253" s="171"/>
    </row>
    <row r="254" spans="8:11" s="62" customFormat="1">
      <c r="H254" s="67"/>
      <c r="K254" s="171"/>
    </row>
    <row r="255" spans="8:11" s="62" customFormat="1">
      <c r="H255" s="67"/>
      <c r="K255" s="171"/>
    </row>
    <row r="256" spans="8:11" s="62" customFormat="1">
      <c r="H256" s="67"/>
      <c r="K256" s="171"/>
    </row>
    <row r="257" spans="8:11" s="62" customFormat="1">
      <c r="H257" s="67"/>
      <c r="K257" s="171"/>
    </row>
    <row r="258" spans="8:11" s="62" customFormat="1">
      <c r="H258" s="67"/>
      <c r="K258" s="171"/>
    </row>
    <row r="259" spans="8:11" s="62" customFormat="1">
      <c r="H259" s="67"/>
      <c r="K259" s="171"/>
    </row>
    <row r="260" spans="8:11" s="62" customFormat="1">
      <c r="H260" s="67"/>
      <c r="K260" s="171"/>
    </row>
    <row r="261" spans="8:11" s="62" customFormat="1">
      <c r="H261" s="67"/>
      <c r="K261" s="171"/>
    </row>
    <row r="262" spans="8:11" s="62" customFormat="1">
      <c r="H262" s="67"/>
      <c r="K262" s="171"/>
    </row>
    <row r="263" spans="8:11" s="62" customFormat="1">
      <c r="H263" s="67"/>
      <c r="K263" s="171"/>
    </row>
    <row r="264" spans="8:11" s="62" customFormat="1">
      <c r="H264" s="67"/>
      <c r="K264" s="171"/>
    </row>
    <row r="265" spans="8:11" s="62" customFormat="1">
      <c r="H265" s="67"/>
      <c r="K265" s="171"/>
    </row>
    <row r="266" spans="8:11" s="62" customFormat="1">
      <c r="H266" s="67"/>
      <c r="K266" s="171"/>
    </row>
    <row r="267" spans="8:11" s="62" customFormat="1">
      <c r="H267" s="67"/>
      <c r="K267" s="171"/>
    </row>
    <row r="268" spans="8:11" s="62" customFormat="1">
      <c r="H268" s="67"/>
      <c r="K268" s="171"/>
    </row>
    <row r="269" spans="8:11" s="62" customFormat="1">
      <c r="H269" s="67"/>
      <c r="K269" s="171"/>
    </row>
    <row r="270" spans="8:11" s="62" customFormat="1">
      <c r="H270" s="67"/>
      <c r="K270" s="171"/>
    </row>
    <row r="271" spans="8:11" s="62" customFormat="1">
      <c r="H271" s="67"/>
      <c r="K271" s="171"/>
    </row>
    <row r="272" spans="8:11" s="62" customFormat="1">
      <c r="H272" s="67"/>
      <c r="K272" s="171"/>
    </row>
    <row r="273" spans="8:11" s="62" customFormat="1">
      <c r="H273" s="67"/>
      <c r="K273" s="171"/>
    </row>
    <row r="274" spans="8:11" s="62" customFormat="1">
      <c r="H274" s="67"/>
      <c r="K274" s="171"/>
    </row>
    <row r="275" spans="8:11" s="62" customFormat="1">
      <c r="H275" s="67"/>
      <c r="K275" s="171"/>
    </row>
    <row r="276" spans="8:11" s="62" customFormat="1">
      <c r="H276" s="67"/>
      <c r="K276" s="171"/>
    </row>
    <row r="277" spans="8:11" s="62" customFormat="1">
      <c r="H277" s="67"/>
      <c r="K277" s="171"/>
    </row>
    <row r="278" spans="8:11" s="62" customFormat="1">
      <c r="H278" s="67"/>
      <c r="K278" s="171"/>
    </row>
    <row r="279" spans="8:11" s="62" customFormat="1">
      <c r="H279" s="67"/>
      <c r="K279" s="171"/>
    </row>
    <row r="280" spans="8:11" s="62" customFormat="1">
      <c r="H280" s="67"/>
      <c r="K280" s="171"/>
    </row>
    <row r="281" spans="8:11" s="62" customFormat="1">
      <c r="H281" s="67"/>
      <c r="K281" s="171"/>
    </row>
    <row r="282" spans="8:11" s="62" customFormat="1">
      <c r="H282" s="67"/>
      <c r="K282" s="171"/>
    </row>
    <row r="283" spans="8:11" s="62" customFormat="1">
      <c r="H283" s="67"/>
      <c r="K283" s="171"/>
    </row>
    <row r="284" spans="8:11" s="62" customFormat="1">
      <c r="H284" s="67"/>
      <c r="K284" s="171"/>
    </row>
    <row r="285" spans="8:11" s="62" customFormat="1">
      <c r="H285" s="67"/>
      <c r="K285" s="171"/>
    </row>
    <row r="286" spans="8:11" s="62" customFormat="1">
      <c r="H286" s="67"/>
      <c r="K286" s="171"/>
    </row>
    <row r="287" spans="8:11" s="62" customFormat="1">
      <c r="H287" s="67"/>
      <c r="K287" s="171"/>
    </row>
    <row r="288" spans="8:11" s="62" customFormat="1">
      <c r="H288" s="67"/>
      <c r="K288" s="171"/>
    </row>
    <row r="289" spans="8:11" s="62" customFormat="1">
      <c r="H289" s="67"/>
      <c r="K289" s="171"/>
    </row>
    <row r="290" spans="8:11" s="62" customFormat="1">
      <c r="H290" s="67"/>
      <c r="K290" s="171"/>
    </row>
    <row r="291" spans="8:11" s="62" customFormat="1">
      <c r="H291" s="67"/>
      <c r="K291" s="171"/>
    </row>
    <row r="292" spans="8:11" s="62" customFormat="1">
      <c r="H292" s="67"/>
      <c r="K292" s="171"/>
    </row>
    <row r="293" spans="8:11" s="62" customFormat="1">
      <c r="H293" s="67"/>
      <c r="K293" s="171"/>
    </row>
    <row r="294" spans="8:11" s="62" customFormat="1">
      <c r="H294" s="67"/>
      <c r="K294" s="171"/>
    </row>
    <row r="295" spans="8:11" s="62" customFormat="1">
      <c r="H295" s="67"/>
      <c r="K295" s="171"/>
    </row>
    <row r="296" spans="8:11" s="62" customFormat="1">
      <c r="H296" s="67"/>
      <c r="K296" s="171"/>
    </row>
    <row r="297" spans="8:11" s="62" customFormat="1">
      <c r="H297" s="67"/>
      <c r="K297" s="171"/>
    </row>
    <row r="298" spans="8:11" s="62" customFormat="1">
      <c r="H298" s="67"/>
      <c r="K298" s="171"/>
    </row>
    <row r="299" spans="8:11" s="62" customFormat="1">
      <c r="H299" s="67"/>
      <c r="K299" s="171"/>
    </row>
    <row r="300" spans="8:11" s="62" customFormat="1">
      <c r="H300" s="67"/>
      <c r="K300" s="171"/>
    </row>
    <row r="301" spans="8:11" s="62" customFormat="1">
      <c r="H301" s="67"/>
      <c r="K301" s="171"/>
    </row>
    <row r="302" spans="8:11" s="62" customFormat="1">
      <c r="H302" s="67"/>
      <c r="K302" s="171"/>
    </row>
    <row r="303" spans="8:11" s="62" customFormat="1">
      <c r="H303" s="67"/>
      <c r="K303" s="171"/>
    </row>
    <row r="304" spans="8:11" s="62" customFormat="1">
      <c r="H304" s="67"/>
      <c r="K304" s="171"/>
    </row>
    <row r="305" spans="8:11" s="62" customFormat="1">
      <c r="H305" s="67"/>
      <c r="K305" s="171"/>
    </row>
    <row r="306" spans="8:11" s="62" customFormat="1">
      <c r="H306" s="67"/>
      <c r="K306" s="171"/>
    </row>
    <row r="307" spans="8:11" s="62" customFormat="1">
      <c r="H307" s="67"/>
      <c r="K307" s="171"/>
    </row>
    <row r="308" spans="8:11" s="62" customFormat="1">
      <c r="H308" s="67"/>
      <c r="K308" s="171"/>
    </row>
    <row r="309" spans="8:11" s="62" customFormat="1">
      <c r="H309" s="67"/>
      <c r="K309" s="171"/>
    </row>
    <row r="310" spans="8:11" s="62" customFormat="1">
      <c r="H310" s="67"/>
      <c r="K310" s="171"/>
    </row>
    <row r="311" spans="8:11" s="62" customFormat="1">
      <c r="H311" s="67"/>
      <c r="K311" s="171"/>
    </row>
    <row r="312" spans="8:11" s="62" customFormat="1">
      <c r="H312" s="67"/>
      <c r="K312" s="171"/>
    </row>
    <row r="313" spans="8:11" s="62" customFormat="1">
      <c r="H313" s="67"/>
      <c r="K313" s="171"/>
    </row>
    <row r="314" spans="8:11" s="62" customFormat="1">
      <c r="H314" s="67"/>
      <c r="K314" s="171"/>
    </row>
    <row r="315" spans="8:11" s="62" customFormat="1">
      <c r="H315" s="67"/>
      <c r="K315" s="171"/>
    </row>
    <row r="316" spans="8:11" s="62" customFormat="1">
      <c r="H316" s="67"/>
      <c r="K316" s="171"/>
    </row>
    <row r="317" spans="8:11" s="62" customFormat="1">
      <c r="H317" s="67"/>
      <c r="K317" s="171"/>
    </row>
    <row r="318" spans="8:11" s="62" customFormat="1">
      <c r="H318" s="67"/>
      <c r="K318" s="171"/>
    </row>
    <row r="319" spans="8:11" s="62" customFormat="1">
      <c r="H319" s="67"/>
      <c r="K319" s="171"/>
    </row>
    <row r="320" spans="8:11" s="62" customFormat="1">
      <c r="H320" s="67"/>
      <c r="K320" s="171"/>
    </row>
    <row r="321" spans="8:11" s="62" customFormat="1">
      <c r="H321" s="67"/>
      <c r="K321" s="171"/>
    </row>
    <row r="322" spans="8:11" s="62" customFormat="1">
      <c r="H322" s="67"/>
      <c r="K322" s="171"/>
    </row>
    <row r="323" spans="8:11" s="62" customFormat="1">
      <c r="H323" s="67"/>
      <c r="K323" s="171"/>
    </row>
    <row r="324" spans="8:11" s="62" customFormat="1">
      <c r="H324" s="67"/>
      <c r="K324" s="171"/>
    </row>
    <row r="325" spans="8:11" s="62" customFormat="1">
      <c r="H325" s="67"/>
      <c r="K325" s="171"/>
    </row>
    <row r="326" spans="8:11" s="62" customFormat="1">
      <c r="H326" s="67"/>
      <c r="K326" s="171"/>
    </row>
    <row r="327" spans="8:11" s="62" customFormat="1">
      <c r="H327" s="67"/>
      <c r="K327" s="171"/>
    </row>
    <row r="328" spans="8:11" s="62" customFormat="1">
      <c r="H328" s="67"/>
      <c r="K328" s="171"/>
    </row>
    <row r="329" spans="8:11" s="62" customFormat="1">
      <c r="H329" s="67"/>
      <c r="K329" s="171"/>
    </row>
    <row r="330" spans="8:11" s="62" customFormat="1">
      <c r="H330" s="67"/>
      <c r="K330" s="171"/>
    </row>
    <row r="331" spans="8:11" s="62" customFormat="1">
      <c r="H331" s="67"/>
      <c r="K331" s="171"/>
    </row>
    <row r="332" spans="8:11" s="62" customFormat="1">
      <c r="H332" s="67"/>
      <c r="K332" s="171"/>
    </row>
    <row r="333" spans="8:11" s="62" customFormat="1">
      <c r="H333" s="67"/>
      <c r="K333" s="171"/>
    </row>
    <row r="334" spans="8:11" s="62" customFormat="1">
      <c r="H334" s="67"/>
      <c r="K334" s="171"/>
    </row>
    <row r="335" spans="8:11" s="62" customFormat="1">
      <c r="H335" s="67"/>
      <c r="K335" s="171"/>
    </row>
    <row r="336" spans="8:11" s="62" customFormat="1">
      <c r="H336" s="67"/>
      <c r="K336" s="171"/>
    </row>
    <row r="337" spans="8:11" s="62" customFormat="1">
      <c r="H337" s="67"/>
      <c r="K337" s="171"/>
    </row>
    <row r="338" spans="8:11" s="62" customFormat="1">
      <c r="H338" s="67"/>
      <c r="K338" s="171"/>
    </row>
    <row r="339" spans="8:11" s="62" customFormat="1">
      <c r="H339" s="67"/>
      <c r="K339" s="171"/>
    </row>
    <row r="340" spans="8:11" s="62" customFormat="1">
      <c r="H340" s="67"/>
      <c r="K340" s="171"/>
    </row>
  </sheetData>
  <autoFilter ref="L1:L340">
    <filterColumn colId="0"/>
  </autoFilter>
  <mergeCells count="28">
    <mergeCell ref="R1:S1"/>
    <mergeCell ref="L4:S4"/>
    <mergeCell ref="I6:J6"/>
    <mergeCell ref="G6:H6"/>
    <mergeCell ref="B2:S3"/>
    <mergeCell ref="C6:D6"/>
    <mergeCell ref="B6:B7"/>
    <mergeCell ref="R6:S6"/>
    <mergeCell ref="E6:F6"/>
    <mergeCell ref="L6:M6"/>
    <mergeCell ref="K6:K7"/>
    <mergeCell ref="J39:J40"/>
    <mergeCell ref="K37:K38"/>
    <mergeCell ref="B37:B38"/>
    <mergeCell ref="G38:H38"/>
    <mergeCell ref="E38:F38"/>
    <mergeCell ref="T6:T7"/>
    <mergeCell ref="T37:T38"/>
    <mergeCell ref="L5:T5"/>
    <mergeCell ref="C5:K5"/>
    <mergeCell ref="I37:I38"/>
    <mergeCell ref="J37:J38"/>
    <mergeCell ref="S37:S38"/>
    <mergeCell ref="P38:Q38"/>
    <mergeCell ref="N6:O6"/>
    <mergeCell ref="P6:Q6"/>
    <mergeCell ref="N38:O38"/>
    <mergeCell ref="R37:R38"/>
  </mergeCells>
  <phoneticPr fontId="4" type="noConversion"/>
  <pageMargins left="0" right="0" top="0" bottom="0" header="0" footer="0"/>
  <pageSetup paperSize="9" scale="12" fitToWidth="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2:D12"/>
  <sheetViews>
    <sheetView rightToLeft="1" workbookViewId="0">
      <selection activeCell="C20" sqref="C20"/>
    </sheetView>
  </sheetViews>
  <sheetFormatPr baseColWidth="10" defaultRowHeight="12.75"/>
  <cols>
    <col min="1" max="1" width="6.28515625" customWidth="1"/>
    <col min="2" max="2" width="51.28515625" customWidth="1"/>
    <col min="3" max="3" width="30.85546875" customWidth="1"/>
    <col min="4" max="4" width="35" customWidth="1"/>
  </cols>
  <sheetData>
    <row r="2" spans="2:4" ht="30">
      <c r="D2" s="375" t="s">
        <v>97</v>
      </c>
    </row>
    <row r="4" spans="2:4" ht="38.25" customHeight="1"/>
    <row r="5" spans="2:4" ht="33.75">
      <c r="B5" s="441" t="s">
        <v>120</v>
      </c>
      <c r="C5" s="441"/>
      <c r="D5" s="441"/>
    </row>
    <row r="6" spans="2:4" ht="27" customHeight="1" thickBot="1">
      <c r="B6" s="190"/>
      <c r="C6" s="190"/>
      <c r="D6" s="190"/>
    </row>
    <row r="7" spans="2:4" ht="53.25" customHeight="1" thickBot="1">
      <c r="B7" s="191"/>
      <c r="C7" s="389" t="s">
        <v>74</v>
      </c>
      <c r="D7" s="389" t="s">
        <v>113</v>
      </c>
    </row>
    <row r="8" spans="2:4" ht="35.25" customHeight="1" thickBot="1">
      <c r="B8" s="377" t="s">
        <v>103</v>
      </c>
      <c r="C8" s="387">
        <v>150</v>
      </c>
      <c r="D8" s="387">
        <f>18+15+15+15+13+20+19+20</f>
        <v>135</v>
      </c>
    </row>
    <row r="9" spans="2:4" ht="33.75" customHeight="1" thickBot="1">
      <c r="B9" s="377" t="s">
        <v>104</v>
      </c>
      <c r="C9" s="387">
        <v>75</v>
      </c>
      <c r="D9" s="387">
        <v>67</v>
      </c>
    </row>
    <row r="10" spans="2:4" ht="31.5" customHeight="1" thickBot="1">
      <c r="B10" s="378" t="s">
        <v>32</v>
      </c>
      <c r="C10" s="388">
        <f>C9/C8</f>
        <v>0.5</v>
      </c>
      <c r="D10" s="388">
        <f>D9/D8</f>
        <v>0.49629629629629629</v>
      </c>
    </row>
    <row r="11" spans="2:4" ht="30" customHeight="1" thickBot="1">
      <c r="B11" s="377" t="s">
        <v>105</v>
      </c>
      <c r="C11" s="387">
        <v>75</v>
      </c>
      <c r="D11" s="387">
        <v>68</v>
      </c>
    </row>
    <row r="12" spans="2:4" ht="38.25" customHeight="1" thickBot="1">
      <c r="B12" s="378" t="s">
        <v>32</v>
      </c>
      <c r="C12" s="388">
        <f>C11/C8</f>
        <v>0.5</v>
      </c>
      <c r="D12" s="388">
        <f>D11/D8</f>
        <v>0.50370370370370365</v>
      </c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A306"/>
  <sheetViews>
    <sheetView rightToLeft="1" zoomScale="40" zoomScaleNormal="40" zoomScaleSheetLayoutView="40" workbookViewId="0">
      <selection activeCell="E2" sqref="E2:M2"/>
    </sheetView>
  </sheetViews>
  <sheetFormatPr baseColWidth="10" defaultRowHeight="44.25"/>
  <cols>
    <col min="1" max="1" width="6.7109375" style="107" customWidth="1"/>
    <col min="2" max="2" width="1.7109375" style="184" hidden="1" customWidth="1"/>
    <col min="3" max="3" width="0.28515625" hidden="1" customWidth="1"/>
    <col min="5" max="5" width="26.42578125" style="4" customWidth="1"/>
    <col min="6" max="6" width="68.42578125" style="6" bestFit="1" customWidth="1"/>
    <col min="7" max="7" width="27.85546875" customWidth="1"/>
    <col min="8" max="8" width="29.7109375" customWidth="1"/>
    <col min="9" max="9" width="31" customWidth="1"/>
    <col min="10" max="10" width="25.85546875" customWidth="1"/>
    <col min="11" max="11" width="40.28515625" style="1" customWidth="1"/>
    <col min="12" max="12" width="30.140625" customWidth="1"/>
    <col min="13" max="13" width="27.85546875" customWidth="1"/>
    <col min="14" max="14" width="11.28515625" customWidth="1"/>
    <col min="21" max="21" width="0.5703125" customWidth="1"/>
    <col min="22" max="22" width="2.85546875" hidden="1" customWidth="1"/>
    <col min="23" max="25" width="11.42578125" hidden="1" customWidth="1"/>
    <col min="26" max="26" width="9.5703125" hidden="1" customWidth="1"/>
    <col min="27" max="27" width="13.140625" bestFit="1" customWidth="1"/>
  </cols>
  <sheetData>
    <row r="1" spans="2:16" ht="60">
      <c r="L1" s="453" t="s">
        <v>126</v>
      </c>
      <c r="M1" s="453"/>
      <c r="N1" s="48"/>
    </row>
    <row r="2" spans="2:16" ht="64.5" customHeight="1">
      <c r="E2" s="454" t="s">
        <v>93</v>
      </c>
      <c r="F2" s="454"/>
      <c r="G2" s="454"/>
      <c r="H2" s="454"/>
      <c r="I2" s="454"/>
      <c r="J2" s="454"/>
      <c r="K2" s="454"/>
      <c r="L2" s="454"/>
      <c r="M2" s="454"/>
      <c r="N2" s="49"/>
    </row>
    <row r="3" spans="2:16" ht="42.75" customHeight="1" thickBot="1">
      <c r="M3" s="19" t="s">
        <v>77</v>
      </c>
      <c r="N3" s="19"/>
    </row>
    <row r="4" spans="2:16" ht="69.75" customHeight="1" thickBot="1">
      <c r="E4" s="455" t="s">
        <v>59</v>
      </c>
      <c r="F4" s="449" t="s">
        <v>42</v>
      </c>
      <c r="G4" s="449" t="s">
        <v>43</v>
      </c>
      <c r="H4" s="449"/>
      <c r="I4" s="449" t="s">
        <v>44</v>
      </c>
      <c r="J4" s="449"/>
      <c r="K4" s="449"/>
      <c r="L4" s="449" t="s">
        <v>45</v>
      </c>
      <c r="M4" s="449"/>
      <c r="N4" s="55"/>
      <c r="O4" s="7"/>
      <c r="P4" s="7"/>
    </row>
    <row r="5" spans="2:16" ht="75.75" customHeight="1" thickBot="1">
      <c r="E5" s="455"/>
      <c r="F5" s="449"/>
      <c r="G5" s="254" t="s">
        <v>46</v>
      </c>
      <c r="H5" s="254" t="s">
        <v>61</v>
      </c>
      <c r="I5" s="254" t="s">
        <v>46</v>
      </c>
      <c r="J5" s="254" t="s">
        <v>61</v>
      </c>
      <c r="K5" s="255" t="s">
        <v>63</v>
      </c>
      <c r="L5" s="254" t="s">
        <v>46</v>
      </c>
      <c r="M5" s="254" t="s">
        <v>61</v>
      </c>
      <c r="N5" s="56"/>
      <c r="O5" s="11"/>
      <c r="P5" s="11"/>
    </row>
    <row r="6" spans="2:16" ht="62.1" customHeight="1">
      <c r="E6" s="456" t="s">
        <v>74</v>
      </c>
      <c r="F6" s="253" t="s">
        <v>47</v>
      </c>
      <c r="G6" s="390">
        <v>18842</v>
      </c>
      <c r="H6" s="390">
        <v>55</v>
      </c>
      <c r="I6" s="390">
        <v>17555</v>
      </c>
      <c r="J6" s="390">
        <v>24</v>
      </c>
      <c r="K6" s="391">
        <v>1854676.2749999999</v>
      </c>
      <c r="L6" s="390">
        <v>803</v>
      </c>
      <c r="M6" s="390">
        <v>25</v>
      </c>
      <c r="N6" s="185"/>
      <c r="O6" s="12"/>
      <c r="P6" s="12"/>
    </row>
    <row r="7" spans="2:16" ht="62.1" customHeight="1">
      <c r="E7" s="457"/>
      <c r="F7" s="253" t="s">
        <v>62</v>
      </c>
      <c r="G7" s="390">
        <v>2511</v>
      </c>
      <c r="H7" s="390">
        <v>12</v>
      </c>
      <c r="I7" s="390">
        <v>1590</v>
      </c>
      <c r="J7" s="390">
        <v>10</v>
      </c>
      <c r="K7" s="391">
        <v>317185.3</v>
      </c>
      <c r="L7" s="390">
        <v>508</v>
      </c>
      <c r="M7" s="390">
        <v>0</v>
      </c>
      <c r="N7" s="185"/>
      <c r="O7" s="12"/>
      <c r="P7" s="12"/>
    </row>
    <row r="8" spans="2:16" ht="62.1" customHeight="1">
      <c r="E8" s="457"/>
      <c r="F8" s="253" t="s">
        <v>48</v>
      </c>
      <c r="G8" s="390">
        <v>702</v>
      </c>
      <c r="H8" s="390">
        <v>1</v>
      </c>
      <c r="I8" s="390">
        <v>228</v>
      </c>
      <c r="J8" s="390">
        <v>1</v>
      </c>
      <c r="K8" s="391">
        <v>60539</v>
      </c>
      <c r="L8" s="390">
        <v>346</v>
      </c>
      <c r="M8" s="390">
        <v>0</v>
      </c>
      <c r="N8" s="185"/>
      <c r="O8" s="12"/>
      <c r="P8" s="12"/>
    </row>
    <row r="9" spans="2:16" ht="62.1" customHeight="1">
      <c r="E9" s="457"/>
      <c r="F9" s="253" t="s">
        <v>49</v>
      </c>
      <c r="G9" s="390">
        <v>9</v>
      </c>
      <c r="H9" s="390">
        <v>9</v>
      </c>
      <c r="I9" s="390">
        <v>0</v>
      </c>
      <c r="J9" s="390">
        <v>0</v>
      </c>
      <c r="K9" s="391">
        <v>0</v>
      </c>
      <c r="L9" s="390">
        <v>0</v>
      </c>
      <c r="M9" s="390">
        <v>21</v>
      </c>
      <c r="N9" s="186"/>
      <c r="O9" s="12"/>
      <c r="P9" s="12"/>
    </row>
    <row r="10" spans="2:16" ht="62.1" customHeight="1" thickBot="1">
      <c r="E10" s="457"/>
      <c r="F10" s="253" t="s">
        <v>50</v>
      </c>
      <c r="G10" s="390">
        <v>510</v>
      </c>
      <c r="H10" s="390">
        <v>0</v>
      </c>
      <c r="I10" s="390">
        <v>442</v>
      </c>
      <c r="J10" s="390">
        <v>0.2</v>
      </c>
      <c r="K10" s="391">
        <v>16582</v>
      </c>
      <c r="L10" s="390">
        <v>62</v>
      </c>
      <c r="M10" s="390">
        <v>3</v>
      </c>
      <c r="N10" s="186"/>
      <c r="O10" s="12"/>
      <c r="P10" s="12"/>
    </row>
    <row r="11" spans="2:16" ht="62.1" customHeight="1" thickBot="1">
      <c r="E11" s="256"/>
      <c r="F11" s="195" t="s">
        <v>41</v>
      </c>
      <c r="G11" s="392">
        <v>22574</v>
      </c>
      <c r="H11" s="392">
        <v>77</v>
      </c>
      <c r="I11" s="393">
        <v>19815</v>
      </c>
      <c r="J11" s="393">
        <v>35.200000000000003</v>
      </c>
      <c r="K11" s="394">
        <v>2248982.5749999997</v>
      </c>
      <c r="L11" s="392">
        <v>1719</v>
      </c>
      <c r="M11" s="395">
        <v>49</v>
      </c>
      <c r="N11" s="187"/>
      <c r="O11" s="12"/>
      <c r="P11" s="12"/>
    </row>
    <row r="12" spans="2:16" ht="62.1" customHeight="1">
      <c r="E12" s="458" t="s">
        <v>113</v>
      </c>
      <c r="F12" s="253" t="s">
        <v>47</v>
      </c>
      <c r="G12" s="390">
        <f>G21+G30+G39+G48+G57+G66+G75+G84+G105+G114+G123+G132+G141+G150+G159+G168+G177+G186+G196+G216+G225+G236+G245+G254+G274+G283+G206+G264+G94</f>
        <v>26127</v>
      </c>
      <c r="H12" s="390">
        <f>H21+H30+H39+H48+H57+H66+H75+H84+H105+H114+H123+H132+H141+H150+H159+H168+H177+H186+H196+H216+H225+H236+H245+H254+H274+H283+H206+H264+H94</f>
        <v>150</v>
      </c>
      <c r="I12" s="390">
        <f>I21+I30+I39+I48+I57+I66+I75+I84+I105+I114+I123+I132+I141+I150+I159+I168+I177+I186+I196+I216+I225+I236+I245+I254+I274+I283+I206+I264+I94</f>
        <v>22930</v>
      </c>
      <c r="J12" s="390">
        <f>J21+J30+J39+J48+J57+J66+J75+J84+J105+J114+J123+J132+J141+J150+J159+J168+J177+J186+J196+J216+J225+J236+J245+J254+J274+J283+J206+J264+J94</f>
        <v>122</v>
      </c>
      <c r="K12" s="391">
        <f>K21+K30+K39+K48+K57+K66+K75+K84+K105+K114+K123+K132+K141+K150+K159+K168+K177+K186+K196+K206+K216+K225+K236+K245+K254+K264+K274+K283+K94</f>
        <v>2424254.4519999996</v>
      </c>
      <c r="L12" s="390">
        <f>L21+L30+L39+L48+L57+L66+L75+L84+L105+L114+L123+L132+L141+L150+L159+L168+L177+L186+L196+L206+L216+L225+L236+L245+L254+L264+L274+L283+L94</f>
        <v>917</v>
      </c>
      <c r="M12" s="390">
        <f>M21+M30+M39+M48+M57+M66+M75+M84+M105+M114+M123+M132+M141+M150+M159+M168+M177+M186+M196+M206+M216+M225+M236+M245+M254+M264+M274+M283+M94</f>
        <v>13</v>
      </c>
      <c r="N12" s="185"/>
      <c r="O12" s="12"/>
      <c r="P12" s="12"/>
    </row>
    <row r="13" spans="2:16" ht="62.1" customHeight="1">
      <c r="E13" s="459"/>
      <c r="F13" s="253" t="s">
        <v>62</v>
      </c>
      <c r="G13" s="390">
        <f>G22+G31+G40+G49+G58+G67+G76+G85+G106+G115+G124+G133+G142+G151+G160+G169+G178+G187+G197+G217+G226+G237+G246+G255+G275+G284+G207+G265+G95</f>
        <v>5765</v>
      </c>
      <c r="H13" s="390">
        <f t="shared" ref="H13:J16" si="0">H22+H31+H40+H49+H58+H67+H76+H85+H106+H115+H124+H133+H142+H151+H160+H169+H178+H187+H197+H217+H226+H237+H246+H255+H275+H284+H207+H265+H95</f>
        <v>7</v>
      </c>
      <c r="I13" s="390">
        <f t="shared" si="0"/>
        <v>3809</v>
      </c>
      <c r="J13" s="390">
        <f t="shared" si="0"/>
        <v>3</v>
      </c>
      <c r="K13" s="391">
        <f t="shared" ref="K13:M16" si="1">K22+K31+K40+K49+K58+K67+K76+K85+K106+K115+K124+K133+K142+K151+K160+K169+K178+K187+K197+K207+K217+K226+K237+K246+K255+K265+K275+K284+K95</f>
        <v>731469</v>
      </c>
      <c r="L13" s="390">
        <f t="shared" ref="L13:M13" si="2">L22+L31+L40+L49+L58+L67+L76+L85+L106+L115+L124+L133+L142+L151+L160+L169+L178+L187+L197+L207+L217+L226+L237+L246+L255+L265+L275+L284+L95</f>
        <v>921</v>
      </c>
      <c r="M13" s="390">
        <f t="shared" si="2"/>
        <v>0</v>
      </c>
      <c r="N13" s="185"/>
      <c r="O13" s="12"/>
      <c r="P13" s="12"/>
    </row>
    <row r="14" spans="2:16" ht="62.1" customHeight="1">
      <c r="E14" s="459"/>
      <c r="F14" s="253" t="s">
        <v>48</v>
      </c>
      <c r="G14" s="390">
        <f t="shared" ref="G14:I16" si="3">G23+G32+G41+G50+G59+G68+G77+G86+G107+G116+G125+G134+G143+G152+G161+G170+G179+G188+G198+G218+G227+G238+G247+G256+G276+G285+G208+G266+G96</f>
        <v>1039</v>
      </c>
      <c r="H14" s="390">
        <f t="shared" si="0"/>
        <v>23</v>
      </c>
      <c r="I14" s="390">
        <f t="shared" ref="I14" si="4">I23+I32+I41+I50+I59+I68+I77+I86+I107+I116+I125+I134+I143+I152+I161+I170+I179+I188+I198+I218+I227+I238+I247+I256+I276+I285+I208+I266+I96</f>
        <v>525</v>
      </c>
      <c r="J14" s="390">
        <f t="shared" si="0"/>
        <v>12</v>
      </c>
      <c r="K14" s="391">
        <f t="shared" si="1"/>
        <v>61134</v>
      </c>
      <c r="L14" s="390">
        <f t="shared" si="1"/>
        <v>286</v>
      </c>
      <c r="M14" s="390">
        <f t="shared" si="1"/>
        <v>0</v>
      </c>
      <c r="N14" s="185"/>
      <c r="O14" s="12"/>
      <c r="P14" s="12"/>
    </row>
    <row r="15" spans="2:16" ht="62.1" customHeight="1">
      <c r="B15" s="192"/>
      <c r="E15" s="459"/>
      <c r="F15" s="253" t="s">
        <v>49</v>
      </c>
      <c r="G15" s="390">
        <f t="shared" si="3"/>
        <v>21</v>
      </c>
      <c r="H15" s="390" t="s">
        <v>112</v>
      </c>
      <c r="I15" s="390">
        <f t="shared" si="3"/>
        <v>0</v>
      </c>
      <c r="J15" s="390">
        <f t="shared" si="0"/>
        <v>0</v>
      </c>
      <c r="K15" s="391">
        <f t="shared" si="1"/>
        <v>0</v>
      </c>
      <c r="L15" s="390">
        <f t="shared" si="1"/>
        <v>0</v>
      </c>
      <c r="M15" s="390">
        <f t="shared" si="1"/>
        <v>28</v>
      </c>
      <c r="N15" s="185"/>
      <c r="O15" s="12"/>
      <c r="P15" s="12"/>
    </row>
    <row r="16" spans="2:16" ht="62.1" customHeight="1" thickBot="1">
      <c r="B16" s="192"/>
      <c r="E16" s="459"/>
      <c r="F16" s="253" t="s">
        <v>50</v>
      </c>
      <c r="G16" s="390">
        <f t="shared" si="3"/>
        <v>22</v>
      </c>
      <c r="H16" s="390">
        <f t="shared" si="3"/>
        <v>0</v>
      </c>
      <c r="I16" s="390">
        <f t="shared" si="3"/>
        <v>19</v>
      </c>
      <c r="J16" s="390">
        <f t="shared" si="0"/>
        <v>0</v>
      </c>
      <c r="K16" s="391">
        <f t="shared" si="1"/>
        <v>5373.26</v>
      </c>
      <c r="L16" s="390">
        <f t="shared" si="1"/>
        <v>1</v>
      </c>
      <c r="M16" s="390">
        <f t="shared" si="1"/>
        <v>0</v>
      </c>
      <c r="N16" s="185"/>
      <c r="O16" s="12"/>
      <c r="P16" s="12"/>
    </row>
    <row r="17" spans="1:27" ht="62.1" customHeight="1" thickBot="1">
      <c r="E17" s="257"/>
      <c r="F17" s="195" t="s">
        <v>41</v>
      </c>
      <c r="G17" s="392">
        <f t="shared" ref="G17:M17" si="5">SUM(G12:G16)</f>
        <v>32974</v>
      </c>
      <c r="H17" s="392">
        <f t="shared" si="5"/>
        <v>180</v>
      </c>
      <c r="I17" s="392">
        <f t="shared" si="5"/>
        <v>27283</v>
      </c>
      <c r="J17" s="392">
        <f t="shared" si="5"/>
        <v>137</v>
      </c>
      <c r="K17" s="394">
        <f t="shared" si="5"/>
        <v>3222230.7119999994</v>
      </c>
      <c r="L17" s="392">
        <f t="shared" si="5"/>
        <v>2125</v>
      </c>
      <c r="M17" s="395">
        <f t="shared" si="5"/>
        <v>41</v>
      </c>
      <c r="N17" s="187"/>
      <c r="O17" s="12"/>
      <c r="P17" s="12"/>
    </row>
    <row r="18" spans="1:27" ht="45" thickBot="1">
      <c r="E18" s="39"/>
      <c r="F18" s="382"/>
      <c r="G18" s="267"/>
      <c r="H18" s="267"/>
      <c r="I18" s="5"/>
      <c r="J18" s="5"/>
      <c r="K18" s="16"/>
      <c r="L18" s="5"/>
      <c r="M18" s="5"/>
      <c r="N18" s="5"/>
      <c r="O18" s="5"/>
      <c r="P18" s="5"/>
    </row>
    <row r="19" spans="1:27" ht="56.25" customHeight="1" thickBot="1">
      <c r="E19" s="181" t="s">
        <v>59</v>
      </c>
      <c r="F19" s="449" t="s">
        <v>42</v>
      </c>
      <c r="G19" s="449" t="s">
        <v>43</v>
      </c>
      <c r="H19" s="449"/>
      <c r="I19" s="449" t="s">
        <v>44</v>
      </c>
      <c r="J19" s="449"/>
      <c r="K19" s="449"/>
      <c r="L19" s="449" t="s">
        <v>45</v>
      </c>
      <c r="M19" s="449"/>
      <c r="N19" s="50"/>
      <c r="O19" s="5"/>
      <c r="P19" s="5"/>
      <c r="AA19" s="260"/>
    </row>
    <row r="20" spans="1:27" ht="70.5" thickBot="1">
      <c r="E20" s="183"/>
      <c r="F20" s="449"/>
      <c r="G20" s="8" t="s">
        <v>46</v>
      </c>
      <c r="H20" s="9" t="s">
        <v>61</v>
      </c>
      <c r="I20" s="8" t="s">
        <v>46</v>
      </c>
      <c r="J20" s="17" t="s">
        <v>61</v>
      </c>
      <c r="K20" s="10" t="s">
        <v>63</v>
      </c>
      <c r="L20" s="8" t="s">
        <v>46</v>
      </c>
      <c r="M20" s="9" t="s">
        <v>61</v>
      </c>
      <c r="N20" s="51"/>
      <c r="O20" s="5"/>
      <c r="P20" s="5"/>
    </row>
    <row r="21" spans="1:27" ht="33" customHeight="1">
      <c r="A21" s="107" t="s">
        <v>2</v>
      </c>
      <c r="E21" s="450" t="s">
        <v>74</v>
      </c>
      <c r="F21" s="36" t="s">
        <v>47</v>
      </c>
      <c r="G21" s="23">
        <v>107</v>
      </c>
      <c r="H21" s="24"/>
      <c r="I21" s="23">
        <v>56</v>
      </c>
      <c r="J21" s="57"/>
      <c r="K21" s="30">
        <v>13500</v>
      </c>
      <c r="L21" s="23">
        <v>35</v>
      </c>
      <c r="M21" s="24">
        <v>1</v>
      </c>
      <c r="N21" s="52"/>
    </row>
    <row r="22" spans="1:27" ht="33" customHeight="1">
      <c r="E22" s="451"/>
      <c r="F22" s="37" t="s">
        <v>62</v>
      </c>
      <c r="G22" s="25">
        <v>1</v>
      </c>
      <c r="H22" s="26"/>
      <c r="I22" s="25">
        <v>1</v>
      </c>
      <c r="J22" s="58"/>
      <c r="K22" s="32">
        <v>250</v>
      </c>
      <c r="L22" s="25">
        <v>25</v>
      </c>
      <c r="M22" s="26"/>
      <c r="N22" s="52"/>
    </row>
    <row r="23" spans="1:27" ht="33" customHeight="1">
      <c r="E23" s="451"/>
      <c r="F23" s="37" t="s">
        <v>48</v>
      </c>
      <c r="G23" s="25">
        <v>39</v>
      </c>
      <c r="H23" s="26"/>
      <c r="I23" s="25">
        <v>10</v>
      </c>
      <c r="J23" s="58"/>
      <c r="K23" s="32">
        <v>11840</v>
      </c>
      <c r="L23" s="25">
        <v>10</v>
      </c>
      <c r="M23" s="26"/>
      <c r="N23" s="52"/>
    </row>
    <row r="24" spans="1:27" ht="33" customHeight="1">
      <c r="E24" s="451"/>
      <c r="F24" s="37" t="s">
        <v>49</v>
      </c>
      <c r="G24" s="33"/>
      <c r="H24" s="26">
        <v>2</v>
      </c>
      <c r="I24" s="33"/>
      <c r="J24" s="58"/>
      <c r="K24" s="32"/>
      <c r="L24" s="33"/>
      <c r="M24" s="26">
        <v>1</v>
      </c>
      <c r="N24" s="52"/>
    </row>
    <row r="25" spans="1:27" ht="33.75" customHeight="1" thickBot="1">
      <c r="E25" s="451"/>
      <c r="F25" s="38" t="s">
        <v>50</v>
      </c>
      <c r="G25" s="27"/>
      <c r="H25" s="28"/>
      <c r="I25" s="27"/>
      <c r="J25" s="59"/>
      <c r="K25" s="35"/>
      <c r="L25" s="27"/>
      <c r="M25" s="28"/>
      <c r="N25" s="53"/>
      <c r="Z25" s="206"/>
    </row>
    <row r="26" spans="1:27" ht="33.75" customHeight="1" thickBot="1">
      <c r="E26" s="452"/>
      <c r="F26" s="13" t="s">
        <v>41</v>
      </c>
      <c r="G26" s="14">
        <f t="shared" ref="G26:M26" si="6">SUM(G21:G25)</f>
        <v>147</v>
      </c>
      <c r="H26" s="15">
        <f t="shared" si="6"/>
        <v>2</v>
      </c>
      <c r="I26" s="14">
        <f t="shared" si="6"/>
        <v>67</v>
      </c>
      <c r="J26" s="60">
        <f t="shared" si="6"/>
        <v>0</v>
      </c>
      <c r="K26" s="22">
        <f t="shared" si="6"/>
        <v>25590</v>
      </c>
      <c r="L26" s="14">
        <f t="shared" si="6"/>
        <v>70</v>
      </c>
      <c r="M26" s="15">
        <f t="shared" si="6"/>
        <v>2</v>
      </c>
      <c r="N26" s="54"/>
    </row>
    <row r="27" spans="1:27" ht="45" thickBot="1">
      <c r="J27" s="21"/>
    </row>
    <row r="28" spans="1:27" ht="45" thickBot="1">
      <c r="E28" s="181" t="s">
        <v>59</v>
      </c>
      <c r="F28" s="449" t="s">
        <v>42</v>
      </c>
      <c r="G28" s="449" t="s">
        <v>43</v>
      </c>
      <c r="H28" s="449"/>
      <c r="I28" s="449" t="s">
        <v>44</v>
      </c>
      <c r="J28" s="449"/>
      <c r="K28" s="449"/>
      <c r="L28" s="449" t="s">
        <v>45</v>
      </c>
      <c r="M28" s="449"/>
      <c r="N28" s="50"/>
    </row>
    <row r="29" spans="1:27" ht="70.5" thickBot="1">
      <c r="E29" s="183"/>
      <c r="F29" s="449"/>
      <c r="G29" s="8" t="s">
        <v>46</v>
      </c>
      <c r="H29" s="9" t="s">
        <v>61</v>
      </c>
      <c r="I29" s="8" t="s">
        <v>46</v>
      </c>
      <c r="J29" s="17" t="s">
        <v>61</v>
      </c>
      <c r="K29" s="10" t="s">
        <v>63</v>
      </c>
      <c r="L29" s="8" t="s">
        <v>46</v>
      </c>
      <c r="M29" s="9" t="s">
        <v>61</v>
      </c>
      <c r="N29" s="51"/>
    </row>
    <row r="30" spans="1:27" ht="89.25" thickBot="1">
      <c r="A30" s="107" t="s">
        <v>73</v>
      </c>
      <c r="E30" s="181" t="s">
        <v>70</v>
      </c>
      <c r="F30" s="36" t="s">
        <v>47</v>
      </c>
      <c r="G30" s="23">
        <v>558</v>
      </c>
      <c r="H30" s="24"/>
      <c r="I30" s="23">
        <v>552</v>
      </c>
      <c r="J30" s="57"/>
      <c r="K30" s="45">
        <v>51880</v>
      </c>
      <c r="L30" s="29"/>
      <c r="M30" s="29"/>
      <c r="N30" s="52"/>
    </row>
    <row r="31" spans="1:27" ht="45" thickBot="1">
      <c r="E31" s="182"/>
      <c r="F31" s="37" t="s">
        <v>62</v>
      </c>
      <c r="G31" s="25">
        <v>83</v>
      </c>
      <c r="H31" s="26"/>
      <c r="I31" s="25">
        <v>75</v>
      </c>
      <c r="J31" s="58"/>
      <c r="K31" s="46">
        <v>5677</v>
      </c>
      <c r="L31" s="29"/>
      <c r="M31" s="29"/>
      <c r="N31" s="52"/>
    </row>
    <row r="32" spans="1:27" ht="45" thickBot="1">
      <c r="E32" s="182"/>
      <c r="F32" s="37" t="s">
        <v>48</v>
      </c>
      <c r="G32" s="25">
        <v>2</v>
      </c>
      <c r="H32" s="26"/>
      <c r="I32" s="25">
        <v>2</v>
      </c>
      <c r="J32" s="58"/>
      <c r="K32" s="46">
        <v>755</v>
      </c>
      <c r="L32" s="29"/>
      <c r="M32" s="29"/>
      <c r="N32" s="52"/>
    </row>
    <row r="33" spans="1:14" ht="45" thickBot="1">
      <c r="E33" s="182"/>
      <c r="F33" s="37" t="s">
        <v>49</v>
      </c>
      <c r="G33" s="33"/>
      <c r="H33" s="26"/>
      <c r="I33" s="33"/>
      <c r="J33" s="58"/>
      <c r="K33" s="46"/>
      <c r="L33" s="29"/>
      <c r="M33" s="29"/>
      <c r="N33" s="52"/>
    </row>
    <row r="34" spans="1:14" ht="45" thickBot="1">
      <c r="E34" s="182"/>
      <c r="F34" s="38" t="s">
        <v>50</v>
      </c>
      <c r="G34" s="27">
        <v>9</v>
      </c>
      <c r="H34" s="28"/>
      <c r="I34" s="27">
        <v>9</v>
      </c>
      <c r="J34" s="59"/>
      <c r="K34" s="47">
        <v>750</v>
      </c>
      <c r="L34" s="29"/>
      <c r="M34" s="29"/>
      <c r="N34" s="52"/>
    </row>
    <row r="35" spans="1:14" ht="45" thickBot="1">
      <c r="E35" s="183"/>
      <c r="F35" s="13" t="s">
        <v>41</v>
      </c>
      <c r="G35" s="14">
        <f t="shared" ref="G35:M35" si="7">SUM(G30:G34)</f>
        <v>652</v>
      </c>
      <c r="H35" s="15">
        <f t="shared" si="7"/>
        <v>0</v>
      </c>
      <c r="I35" s="14">
        <f t="shared" si="7"/>
        <v>638</v>
      </c>
      <c r="J35" s="60">
        <f t="shared" si="7"/>
        <v>0</v>
      </c>
      <c r="K35" s="22">
        <f t="shared" si="7"/>
        <v>59062</v>
      </c>
      <c r="L35" s="14">
        <f t="shared" si="7"/>
        <v>0</v>
      </c>
      <c r="M35" s="15">
        <f t="shared" si="7"/>
        <v>0</v>
      </c>
      <c r="N35" s="54"/>
    </row>
    <row r="36" spans="1:14" ht="45" thickBot="1"/>
    <row r="37" spans="1:14" ht="45" thickBot="1">
      <c r="E37" s="181" t="s">
        <v>59</v>
      </c>
      <c r="F37" s="449" t="s">
        <v>42</v>
      </c>
      <c r="G37" s="449" t="s">
        <v>43</v>
      </c>
      <c r="H37" s="449"/>
      <c r="I37" s="449" t="s">
        <v>44</v>
      </c>
      <c r="J37" s="449"/>
      <c r="K37" s="449"/>
      <c r="L37" s="449" t="s">
        <v>45</v>
      </c>
      <c r="M37" s="449"/>
      <c r="N37" s="50"/>
    </row>
    <row r="38" spans="1:14" ht="70.5" thickBot="1">
      <c r="E38" s="183"/>
      <c r="F38" s="449"/>
      <c r="G38" s="8" t="s">
        <v>46</v>
      </c>
      <c r="H38" s="9" t="s">
        <v>61</v>
      </c>
      <c r="I38" s="8">
        <v>211</v>
      </c>
      <c r="J38" s="17" t="s">
        <v>61</v>
      </c>
      <c r="K38" s="10" t="s">
        <v>63</v>
      </c>
      <c r="L38" s="8" t="s">
        <v>46</v>
      </c>
      <c r="M38" s="9" t="s">
        <v>61</v>
      </c>
      <c r="N38" s="51"/>
    </row>
    <row r="39" spans="1:14" ht="89.25" thickBot="1">
      <c r="A39" s="107" t="s">
        <v>68</v>
      </c>
      <c r="E39" s="181" t="s">
        <v>70</v>
      </c>
      <c r="F39" s="36" t="s">
        <v>47</v>
      </c>
      <c r="G39" s="23">
        <f>374+307</f>
        <v>681</v>
      </c>
      <c r="H39" s="194"/>
      <c r="I39" s="194">
        <f>372+303</f>
        <v>675</v>
      </c>
      <c r="J39" s="194"/>
      <c r="K39" s="194">
        <f>39530+57725</f>
        <v>97255</v>
      </c>
      <c r="L39" s="194"/>
      <c r="M39" s="194"/>
      <c r="N39" s="52"/>
    </row>
    <row r="40" spans="1:14" ht="45" thickBot="1">
      <c r="E40" s="182"/>
      <c r="F40" s="37" t="s">
        <v>62</v>
      </c>
      <c r="G40" s="194"/>
      <c r="H40" s="194"/>
      <c r="I40" s="194"/>
      <c r="J40" s="194"/>
      <c r="K40" s="194"/>
      <c r="L40" s="194"/>
      <c r="M40" s="194"/>
      <c r="N40" s="52"/>
    </row>
    <row r="41" spans="1:14" ht="45" thickBot="1">
      <c r="E41" s="182"/>
      <c r="F41" s="37" t="s">
        <v>48</v>
      </c>
      <c r="G41" s="194">
        <v>21</v>
      </c>
      <c r="H41" s="194">
        <v>3</v>
      </c>
      <c r="I41" s="194">
        <v>1</v>
      </c>
      <c r="J41" s="194"/>
      <c r="K41" s="194">
        <v>1000</v>
      </c>
      <c r="L41" s="194"/>
      <c r="M41" s="194"/>
      <c r="N41" s="52"/>
    </row>
    <row r="42" spans="1:14" ht="45" thickBot="1">
      <c r="E42" s="182"/>
      <c r="F42" s="37" t="s">
        <v>49</v>
      </c>
      <c r="G42" s="194"/>
      <c r="H42" s="194"/>
      <c r="I42" s="194"/>
      <c r="J42" s="194"/>
      <c r="K42" s="194"/>
      <c r="L42" s="194"/>
      <c r="M42" s="194"/>
      <c r="N42" s="52"/>
    </row>
    <row r="43" spans="1:14" ht="45" thickBot="1">
      <c r="E43" s="182"/>
      <c r="F43" s="38" t="s">
        <v>50</v>
      </c>
      <c r="G43" s="194"/>
      <c r="H43" s="194"/>
      <c r="I43" s="194"/>
      <c r="J43" s="194"/>
      <c r="K43" s="194"/>
      <c r="L43" s="194"/>
      <c r="M43" s="194"/>
      <c r="N43" s="52"/>
    </row>
    <row r="44" spans="1:14" ht="45" thickBot="1">
      <c r="E44" s="183"/>
      <c r="F44" s="13" t="s">
        <v>41</v>
      </c>
      <c r="G44" s="14">
        <f t="shared" ref="G44:M44" si="8">SUM(G39:G43)</f>
        <v>702</v>
      </c>
      <c r="H44" s="15">
        <f t="shared" si="8"/>
        <v>3</v>
      </c>
      <c r="I44" s="14">
        <f t="shared" si="8"/>
        <v>676</v>
      </c>
      <c r="J44" s="18">
        <f t="shared" si="8"/>
        <v>0</v>
      </c>
      <c r="K44" s="22">
        <f t="shared" si="8"/>
        <v>98255</v>
      </c>
      <c r="L44" s="14">
        <f t="shared" si="8"/>
        <v>0</v>
      </c>
      <c r="M44" s="15">
        <f t="shared" si="8"/>
        <v>0</v>
      </c>
      <c r="N44" s="54"/>
    </row>
    <row r="45" spans="1:14" ht="45" thickBot="1"/>
    <row r="46" spans="1:14" ht="45" thickBot="1">
      <c r="E46" s="181" t="s">
        <v>59</v>
      </c>
      <c r="F46" s="449" t="s">
        <v>42</v>
      </c>
      <c r="G46" s="449" t="s">
        <v>43</v>
      </c>
      <c r="H46" s="449"/>
      <c r="I46" s="449" t="s">
        <v>44</v>
      </c>
      <c r="J46" s="449"/>
      <c r="K46" s="449"/>
      <c r="L46" s="449" t="s">
        <v>45</v>
      </c>
      <c r="M46" s="449"/>
      <c r="N46" s="50"/>
    </row>
    <row r="47" spans="1:14" ht="70.5" thickBot="1">
      <c r="E47" s="183"/>
      <c r="F47" s="449"/>
      <c r="G47" s="8" t="s">
        <v>46</v>
      </c>
      <c r="H47" s="9" t="s">
        <v>61</v>
      </c>
      <c r="I47" s="8" t="s">
        <v>46</v>
      </c>
      <c r="J47" s="17" t="s">
        <v>61</v>
      </c>
      <c r="K47" s="10" t="s">
        <v>63</v>
      </c>
      <c r="L47" s="8" t="s">
        <v>46</v>
      </c>
      <c r="M47" s="9" t="s">
        <v>61</v>
      </c>
      <c r="N47" s="51"/>
    </row>
    <row r="48" spans="1:14" ht="88.5">
      <c r="A48" s="107" t="s">
        <v>4</v>
      </c>
      <c r="E48" s="181" t="s">
        <v>70</v>
      </c>
      <c r="F48" s="36" t="s">
        <v>47</v>
      </c>
      <c r="G48" s="23">
        <v>290</v>
      </c>
      <c r="H48" s="24">
        <v>10</v>
      </c>
      <c r="I48" s="23">
        <v>281</v>
      </c>
      <c r="J48" s="29"/>
      <c r="K48" s="30">
        <v>24530</v>
      </c>
      <c r="L48" s="23"/>
      <c r="M48" s="24">
        <v>10</v>
      </c>
      <c r="N48" s="52"/>
    </row>
    <row r="49" spans="1:14">
      <c r="E49" s="182"/>
      <c r="F49" s="37" t="s">
        <v>62</v>
      </c>
      <c r="G49" s="25">
        <v>15</v>
      </c>
      <c r="H49" s="26"/>
      <c r="I49" s="25">
        <v>4</v>
      </c>
      <c r="J49" s="31"/>
      <c r="K49" s="32">
        <v>1000</v>
      </c>
      <c r="L49" s="25">
        <v>3</v>
      </c>
      <c r="M49" s="26"/>
      <c r="N49" s="52"/>
    </row>
    <row r="50" spans="1:14">
      <c r="E50" s="182"/>
      <c r="F50" s="37" t="s">
        <v>48</v>
      </c>
      <c r="G50" s="25">
        <v>1</v>
      </c>
      <c r="H50" s="26"/>
      <c r="I50" s="25">
        <v>1</v>
      </c>
      <c r="J50" s="31"/>
      <c r="K50" s="32">
        <v>1000</v>
      </c>
      <c r="L50" s="25"/>
      <c r="M50" s="26"/>
      <c r="N50" s="52"/>
    </row>
    <row r="51" spans="1:14">
      <c r="E51" s="182"/>
      <c r="F51" s="37" t="s">
        <v>49</v>
      </c>
      <c r="G51" s="33"/>
      <c r="H51" s="26">
        <v>12</v>
      </c>
      <c r="I51" s="33"/>
      <c r="J51" s="31"/>
      <c r="K51" s="32"/>
      <c r="L51" s="33"/>
      <c r="M51" s="26">
        <v>12</v>
      </c>
      <c r="N51" s="52"/>
    </row>
    <row r="52" spans="1:14" ht="45" thickBot="1">
      <c r="E52" s="182"/>
      <c r="F52" s="38" t="s">
        <v>50</v>
      </c>
      <c r="G52" s="27"/>
      <c r="H52" s="28"/>
      <c r="I52" s="27"/>
      <c r="J52" s="34"/>
      <c r="K52" s="35"/>
      <c r="L52" s="27"/>
      <c r="M52" s="28"/>
      <c r="N52" s="53"/>
    </row>
    <row r="53" spans="1:14" ht="45" thickBot="1">
      <c r="E53" s="183"/>
      <c r="F53" s="13" t="s">
        <v>41</v>
      </c>
      <c r="G53" s="14">
        <f t="shared" ref="G53:M53" si="9">SUM(G48:G52)</f>
        <v>306</v>
      </c>
      <c r="H53" s="15">
        <f t="shared" si="9"/>
        <v>22</v>
      </c>
      <c r="I53" s="14">
        <f t="shared" si="9"/>
        <v>286</v>
      </c>
      <c r="J53" s="18">
        <f t="shared" si="9"/>
        <v>0</v>
      </c>
      <c r="K53" s="22">
        <f t="shared" si="9"/>
        <v>26530</v>
      </c>
      <c r="L53" s="14">
        <f t="shared" si="9"/>
        <v>3</v>
      </c>
      <c r="M53" s="15">
        <f t="shared" si="9"/>
        <v>22</v>
      </c>
      <c r="N53" s="54"/>
    </row>
    <row r="54" spans="1:14" ht="45" thickBot="1"/>
    <row r="55" spans="1:14" ht="45" thickBot="1">
      <c r="E55" s="181" t="s">
        <v>59</v>
      </c>
      <c r="F55" s="449" t="s">
        <v>42</v>
      </c>
      <c r="G55" s="449" t="s">
        <v>43</v>
      </c>
      <c r="H55" s="449"/>
      <c r="I55" s="449" t="s">
        <v>44</v>
      </c>
      <c r="J55" s="449"/>
      <c r="K55" s="449"/>
      <c r="L55" s="449" t="s">
        <v>45</v>
      </c>
      <c r="M55" s="449"/>
      <c r="N55" s="50"/>
    </row>
    <row r="56" spans="1:14" ht="70.5" thickBot="1">
      <c r="A56" s="107" t="s">
        <v>5</v>
      </c>
      <c r="E56" s="183"/>
      <c r="F56" s="449"/>
      <c r="G56" s="8" t="s">
        <v>46</v>
      </c>
      <c r="H56" s="9" t="s">
        <v>61</v>
      </c>
      <c r="I56" s="8" t="s">
        <v>46</v>
      </c>
      <c r="J56" s="17" t="s">
        <v>61</v>
      </c>
      <c r="K56" s="10" t="s">
        <v>63</v>
      </c>
      <c r="L56" s="8" t="s">
        <v>46</v>
      </c>
      <c r="M56" s="9" t="s">
        <v>61</v>
      </c>
      <c r="N56" s="51"/>
    </row>
    <row r="57" spans="1:14" ht="88.5">
      <c r="E57" s="181" t="s">
        <v>70</v>
      </c>
      <c r="F57" s="36" t="s">
        <v>47</v>
      </c>
      <c r="G57" s="23">
        <v>4</v>
      </c>
      <c r="H57" s="24"/>
      <c r="I57" s="23"/>
      <c r="J57" s="29"/>
      <c r="K57" s="30"/>
      <c r="L57" s="23">
        <v>4</v>
      </c>
      <c r="M57" s="24"/>
      <c r="N57" s="52"/>
    </row>
    <row r="58" spans="1:14">
      <c r="E58" s="182"/>
      <c r="F58" s="37" t="s">
        <v>62</v>
      </c>
      <c r="G58" s="25">
        <v>70</v>
      </c>
      <c r="H58" s="26"/>
      <c r="I58" s="25"/>
      <c r="J58" s="31"/>
      <c r="K58" s="32"/>
      <c r="L58" s="25">
        <v>70</v>
      </c>
      <c r="M58" s="26"/>
      <c r="N58" s="52"/>
    </row>
    <row r="59" spans="1:14">
      <c r="E59" s="182"/>
      <c r="F59" s="37" t="s">
        <v>48</v>
      </c>
      <c r="G59" s="25">
        <v>7</v>
      </c>
      <c r="H59" s="26"/>
      <c r="I59" s="25"/>
      <c r="J59" s="31"/>
      <c r="K59" s="32"/>
      <c r="L59" s="25">
        <v>7</v>
      </c>
      <c r="M59" s="26"/>
      <c r="N59" s="52"/>
    </row>
    <row r="60" spans="1:14">
      <c r="E60" s="182"/>
      <c r="F60" s="37" t="s">
        <v>49</v>
      </c>
      <c r="G60" s="33"/>
      <c r="H60" s="26"/>
      <c r="I60" s="33"/>
      <c r="J60" s="31"/>
      <c r="K60" s="32"/>
      <c r="L60" s="33"/>
      <c r="M60" s="26"/>
      <c r="N60" s="52"/>
    </row>
    <row r="61" spans="1:14" ht="45" thickBot="1">
      <c r="E61" s="182"/>
      <c r="F61" s="38" t="s">
        <v>50</v>
      </c>
      <c r="G61" s="27"/>
      <c r="H61" s="28"/>
      <c r="I61" s="27"/>
      <c r="J61" s="34"/>
      <c r="K61" s="35"/>
      <c r="L61" s="27"/>
      <c r="M61" s="28"/>
      <c r="N61" s="53"/>
    </row>
    <row r="62" spans="1:14" ht="45" thickBot="1">
      <c r="E62" s="183"/>
      <c r="F62" s="13" t="s">
        <v>41</v>
      </c>
      <c r="G62" s="14">
        <f t="shared" ref="G62:M62" si="10">SUM(G57:G61)</f>
        <v>81</v>
      </c>
      <c r="H62" s="15">
        <f t="shared" si="10"/>
        <v>0</v>
      </c>
      <c r="I62" s="14">
        <f t="shared" si="10"/>
        <v>0</v>
      </c>
      <c r="J62" s="18">
        <f t="shared" si="10"/>
        <v>0</v>
      </c>
      <c r="K62" s="22">
        <f t="shared" si="10"/>
        <v>0</v>
      </c>
      <c r="L62" s="14">
        <f t="shared" si="10"/>
        <v>81</v>
      </c>
      <c r="M62" s="15">
        <f t="shared" si="10"/>
        <v>0</v>
      </c>
      <c r="N62" s="54"/>
    </row>
    <row r="63" spans="1:14" ht="45" thickBot="1"/>
    <row r="64" spans="1:14" ht="45" thickBot="1">
      <c r="E64" s="181" t="s">
        <v>59</v>
      </c>
      <c r="F64" s="449" t="s">
        <v>42</v>
      </c>
      <c r="G64" s="449" t="s">
        <v>43</v>
      </c>
      <c r="H64" s="449"/>
      <c r="I64" s="449" t="s">
        <v>44</v>
      </c>
      <c r="J64" s="449"/>
      <c r="K64" s="449"/>
      <c r="L64" s="449" t="s">
        <v>45</v>
      </c>
      <c r="M64" s="449"/>
      <c r="N64" s="50"/>
    </row>
    <row r="65" spans="1:14" ht="70.5" thickBot="1">
      <c r="A65" s="107" t="s">
        <v>6</v>
      </c>
      <c r="E65" s="183"/>
      <c r="F65" s="449"/>
      <c r="G65" s="8" t="s">
        <v>46</v>
      </c>
      <c r="H65" s="9" t="s">
        <v>61</v>
      </c>
      <c r="I65" s="8" t="s">
        <v>46</v>
      </c>
      <c r="J65" s="17" t="s">
        <v>61</v>
      </c>
      <c r="K65" s="10" t="s">
        <v>63</v>
      </c>
      <c r="L65" s="8" t="s">
        <v>46</v>
      </c>
      <c r="M65" s="9" t="s">
        <v>61</v>
      </c>
      <c r="N65" s="51"/>
    </row>
    <row r="66" spans="1:14" ht="88.5">
      <c r="E66" s="181" t="s">
        <v>70</v>
      </c>
      <c r="F66" s="36" t="s">
        <v>47</v>
      </c>
      <c r="G66" s="23">
        <v>199</v>
      </c>
      <c r="H66" s="24"/>
      <c r="I66" s="23">
        <v>184</v>
      </c>
      <c r="J66" s="29"/>
      <c r="K66" s="45">
        <f>6030+13260</f>
        <v>19290</v>
      </c>
      <c r="L66" s="23">
        <v>38</v>
      </c>
      <c r="M66" s="24"/>
      <c r="N66" s="52"/>
    </row>
    <row r="67" spans="1:14">
      <c r="E67" s="182"/>
      <c r="F67" s="37" t="s">
        <v>62</v>
      </c>
      <c r="G67" s="25">
        <v>10</v>
      </c>
      <c r="H67" s="26"/>
      <c r="I67" s="25">
        <v>4</v>
      </c>
      <c r="J67" s="31"/>
      <c r="K67" s="46">
        <v>1000</v>
      </c>
      <c r="L67" s="25">
        <v>18</v>
      </c>
      <c r="M67" s="26"/>
      <c r="N67" s="52"/>
    </row>
    <row r="68" spans="1:14">
      <c r="E68" s="182"/>
      <c r="F68" s="37" t="s">
        <v>48</v>
      </c>
      <c r="G68" s="25">
        <v>19</v>
      </c>
      <c r="H68" s="26"/>
      <c r="I68" s="25"/>
      <c r="J68" s="31"/>
      <c r="K68" s="46"/>
      <c r="L68" s="25">
        <v>14</v>
      </c>
      <c r="M68" s="26"/>
      <c r="N68" s="52"/>
    </row>
    <row r="69" spans="1:14">
      <c r="E69" s="182"/>
      <c r="F69" s="37" t="s">
        <v>49</v>
      </c>
      <c r="G69" s="33">
        <v>13</v>
      </c>
      <c r="H69" s="26"/>
      <c r="I69" s="33"/>
      <c r="J69" s="31"/>
      <c r="K69" s="46"/>
      <c r="L69" s="33"/>
      <c r="M69" s="26"/>
      <c r="N69" s="52"/>
    </row>
    <row r="70" spans="1:14" ht="45" thickBot="1">
      <c r="E70" s="182"/>
      <c r="F70" s="38" t="s">
        <v>50</v>
      </c>
      <c r="G70" s="27"/>
      <c r="H70" s="28"/>
      <c r="I70" s="27"/>
      <c r="J70" s="34"/>
      <c r="K70" s="47"/>
      <c r="L70" s="27"/>
      <c r="M70" s="28"/>
      <c r="N70" s="53"/>
    </row>
    <row r="71" spans="1:14" ht="45" thickBot="1">
      <c r="E71" s="183"/>
      <c r="F71" s="13" t="s">
        <v>41</v>
      </c>
      <c r="G71" s="14">
        <f t="shared" ref="G71:M71" si="11">SUM(G66:G70)</f>
        <v>241</v>
      </c>
      <c r="H71" s="15">
        <f t="shared" si="11"/>
        <v>0</v>
      </c>
      <c r="I71" s="14">
        <f t="shared" si="11"/>
        <v>188</v>
      </c>
      <c r="J71" s="18">
        <f t="shared" si="11"/>
        <v>0</v>
      </c>
      <c r="K71" s="22">
        <f t="shared" si="11"/>
        <v>20290</v>
      </c>
      <c r="L71" s="14">
        <f t="shared" si="11"/>
        <v>70</v>
      </c>
      <c r="M71" s="15">
        <f t="shared" si="11"/>
        <v>0</v>
      </c>
      <c r="N71" s="54"/>
    </row>
    <row r="72" spans="1:14" ht="45" thickBot="1"/>
    <row r="73" spans="1:14" ht="45" thickBot="1">
      <c r="E73" s="181" t="s">
        <v>59</v>
      </c>
      <c r="F73" s="449" t="s">
        <v>42</v>
      </c>
      <c r="G73" s="449" t="s">
        <v>43</v>
      </c>
      <c r="H73" s="449"/>
      <c r="I73" s="449" t="s">
        <v>44</v>
      </c>
      <c r="J73" s="449"/>
      <c r="K73" s="449"/>
      <c r="L73" s="449" t="s">
        <v>45</v>
      </c>
      <c r="M73" s="449"/>
      <c r="N73" s="50"/>
    </row>
    <row r="74" spans="1:14" ht="70.5" thickBot="1">
      <c r="A74" s="107" t="s">
        <v>7</v>
      </c>
      <c r="E74" s="183"/>
      <c r="F74" s="449"/>
      <c r="G74" s="8" t="s">
        <v>46</v>
      </c>
      <c r="H74" s="9" t="s">
        <v>61</v>
      </c>
      <c r="I74" s="8" t="s">
        <v>46</v>
      </c>
      <c r="J74" s="17" t="s">
        <v>61</v>
      </c>
      <c r="K74" s="10" t="s">
        <v>63</v>
      </c>
      <c r="L74" s="8" t="s">
        <v>46</v>
      </c>
      <c r="M74" s="9" t="s">
        <v>61</v>
      </c>
      <c r="N74" s="51"/>
    </row>
    <row r="75" spans="1:14" ht="88.5">
      <c r="E75" s="181" t="s">
        <v>70</v>
      </c>
      <c r="F75" s="36" t="s">
        <v>47</v>
      </c>
      <c r="G75" s="23">
        <v>7620</v>
      </c>
      <c r="H75" s="24"/>
      <c r="I75" s="23">
        <v>6724</v>
      </c>
      <c r="J75" s="57"/>
      <c r="K75" s="45">
        <v>485736</v>
      </c>
      <c r="L75" s="23">
        <v>221</v>
      </c>
      <c r="M75" s="24"/>
      <c r="N75" s="52"/>
    </row>
    <row r="76" spans="1:14">
      <c r="E76" s="182"/>
      <c r="F76" s="37" t="s">
        <v>62</v>
      </c>
      <c r="G76" s="25">
        <v>765</v>
      </c>
      <c r="H76" s="26"/>
      <c r="I76" s="25">
        <v>395</v>
      </c>
      <c r="J76" s="58"/>
      <c r="K76" s="46">
        <v>10250</v>
      </c>
      <c r="L76" s="25">
        <v>152</v>
      </c>
      <c r="M76" s="26"/>
      <c r="N76" s="52"/>
    </row>
    <row r="77" spans="1:14">
      <c r="E77" s="182"/>
      <c r="F77" s="37" t="s">
        <v>48</v>
      </c>
      <c r="G77" s="25">
        <v>23</v>
      </c>
      <c r="H77" s="26"/>
      <c r="I77" s="25"/>
      <c r="J77" s="58"/>
      <c r="K77" s="46"/>
      <c r="L77" s="25">
        <v>54</v>
      </c>
      <c r="M77" s="26"/>
      <c r="N77" s="52"/>
    </row>
    <row r="78" spans="1:14">
      <c r="E78" s="182"/>
      <c r="F78" s="37" t="s">
        <v>49</v>
      </c>
      <c r="G78" s="33"/>
      <c r="H78" s="26">
        <v>3</v>
      </c>
      <c r="I78" s="33"/>
      <c r="J78" s="58"/>
      <c r="K78" s="46"/>
      <c r="L78" s="33"/>
      <c r="M78" s="26">
        <v>1</v>
      </c>
      <c r="N78" s="52"/>
    </row>
    <row r="79" spans="1:14" ht="45" thickBot="1">
      <c r="E79" s="182"/>
      <c r="F79" s="38" t="s">
        <v>50</v>
      </c>
      <c r="G79" s="27"/>
      <c r="H79" s="28"/>
      <c r="I79" s="27"/>
      <c r="J79" s="59"/>
      <c r="K79" s="47"/>
      <c r="L79" s="27"/>
      <c r="M79" s="28"/>
      <c r="N79" s="53"/>
    </row>
    <row r="80" spans="1:14" ht="45" thickBot="1">
      <c r="E80" s="183"/>
      <c r="F80" s="13" t="s">
        <v>41</v>
      </c>
      <c r="G80" s="14">
        <f t="shared" ref="G80:M80" si="12">SUM(G75:G79)</f>
        <v>8408</v>
      </c>
      <c r="H80" s="15">
        <f t="shared" si="12"/>
        <v>3</v>
      </c>
      <c r="I80" s="14">
        <f t="shared" si="12"/>
        <v>7119</v>
      </c>
      <c r="J80" s="18">
        <f t="shared" si="12"/>
        <v>0</v>
      </c>
      <c r="K80" s="22">
        <f t="shared" si="12"/>
        <v>495986</v>
      </c>
      <c r="L80" s="14">
        <f t="shared" si="12"/>
        <v>427</v>
      </c>
      <c r="M80" s="15">
        <f t="shared" si="12"/>
        <v>1</v>
      </c>
      <c r="N80" s="54"/>
    </row>
    <row r="81" spans="1:14" ht="45" thickBot="1"/>
    <row r="82" spans="1:14" ht="45" thickBot="1">
      <c r="E82" s="181" t="s">
        <v>59</v>
      </c>
      <c r="F82" s="449" t="s">
        <v>42</v>
      </c>
      <c r="G82" s="449" t="s">
        <v>43</v>
      </c>
      <c r="H82" s="449"/>
      <c r="I82" s="449" t="s">
        <v>44</v>
      </c>
      <c r="J82" s="449"/>
      <c r="K82" s="449"/>
      <c r="L82" s="449" t="s">
        <v>45</v>
      </c>
      <c r="M82" s="449"/>
      <c r="N82" s="50"/>
    </row>
    <row r="83" spans="1:14" ht="70.5" thickBot="1">
      <c r="A83" s="107" t="s">
        <v>75</v>
      </c>
      <c r="E83" s="183"/>
      <c r="F83" s="449"/>
      <c r="G83" s="8" t="s">
        <v>46</v>
      </c>
      <c r="H83" s="9" t="s">
        <v>61</v>
      </c>
      <c r="I83" s="8" t="s">
        <v>46</v>
      </c>
      <c r="J83" s="17" t="s">
        <v>61</v>
      </c>
      <c r="K83" s="10" t="s">
        <v>63</v>
      </c>
      <c r="L83" s="8" t="s">
        <v>46</v>
      </c>
      <c r="M83" s="9" t="s">
        <v>61</v>
      </c>
      <c r="N83" s="51"/>
    </row>
    <row r="84" spans="1:14" ht="88.5">
      <c r="E84" s="181" t="s">
        <v>70</v>
      </c>
      <c r="F84" s="36" t="s">
        <v>47</v>
      </c>
      <c r="G84" s="23">
        <f>785+197</f>
        <v>982</v>
      </c>
      <c r="H84" s="24">
        <v>3</v>
      </c>
      <c r="I84" s="23">
        <f>727+192</f>
        <v>919</v>
      </c>
      <c r="J84" s="29"/>
      <c r="K84" s="30">
        <f>47290+12905</f>
        <v>60195</v>
      </c>
      <c r="L84" s="23">
        <v>31</v>
      </c>
      <c r="M84" s="24"/>
      <c r="N84" s="52"/>
    </row>
    <row r="85" spans="1:14">
      <c r="E85" s="182"/>
      <c r="F85" s="37" t="s">
        <v>62</v>
      </c>
      <c r="G85" s="25">
        <v>376</v>
      </c>
      <c r="H85" s="26">
        <v>3</v>
      </c>
      <c r="I85" s="25">
        <v>135</v>
      </c>
      <c r="J85" s="31"/>
      <c r="K85" s="32">
        <v>31812</v>
      </c>
      <c r="L85" s="25">
        <v>91</v>
      </c>
      <c r="M85" s="26"/>
      <c r="N85" s="52"/>
    </row>
    <row r="86" spans="1:14">
      <c r="E86" s="182"/>
      <c r="F86" s="37" t="s">
        <v>48</v>
      </c>
      <c r="G86" s="25">
        <v>269</v>
      </c>
      <c r="H86" s="26">
        <v>2</v>
      </c>
      <c r="I86" s="25">
        <v>232</v>
      </c>
      <c r="J86" s="31"/>
      <c r="K86" s="32">
        <v>13849</v>
      </c>
      <c r="L86" s="25">
        <v>10</v>
      </c>
      <c r="M86" s="26"/>
      <c r="N86" s="52"/>
    </row>
    <row r="87" spans="1:14">
      <c r="E87" s="182"/>
      <c r="F87" s="37" t="s">
        <v>49</v>
      </c>
      <c r="G87" s="33"/>
      <c r="H87" s="26">
        <v>6</v>
      </c>
      <c r="I87" s="33"/>
      <c r="J87" s="31"/>
      <c r="K87" s="32"/>
      <c r="L87" s="33"/>
      <c r="M87" s="26"/>
      <c r="N87" s="52"/>
    </row>
    <row r="88" spans="1:14" ht="45" thickBot="1">
      <c r="E88" s="182"/>
      <c r="F88" s="38" t="s">
        <v>50</v>
      </c>
      <c r="G88" s="27"/>
      <c r="H88" s="28"/>
      <c r="I88" s="27"/>
      <c r="J88" s="34"/>
      <c r="K88" s="35"/>
      <c r="L88" s="27"/>
      <c r="M88" s="28"/>
      <c r="N88" s="53"/>
    </row>
    <row r="89" spans="1:14" ht="45" thickBot="1">
      <c r="E89" s="183"/>
      <c r="F89" s="13" t="s">
        <v>41</v>
      </c>
      <c r="G89" s="14">
        <f t="shared" ref="G89:M89" si="13">SUM(G84:G88)</f>
        <v>1627</v>
      </c>
      <c r="H89" s="15">
        <f t="shared" si="13"/>
        <v>14</v>
      </c>
      <c r="I89" s="14">
        <f t="shared" si="13"/>
        <v>1286</v>
      </c>
      <c r="J89" s="18">
        <f t="shared" si="13"/>
        <v>0</v>
      </c>
      <c r="K89" s="22">
        <f t="shared" si="13"/>
        <v>105856</v>
      </c>
      <c r="L89" s="14">
        <f t="shared" si="13"/>
        <v>132</v>
      </c>
      <c r="M89" s="15">
        <f t="shared" si="13"/>
        <v>0</v>
      </c>
      <c r="N89" s="54"/>
    </row>
    <row r="91" spans="1:14" ht="45" thickBot="1"/>
    <row r="92" spans="1:14" ht="45" thickBot="1">
      <c r="B92" s="184" t="s">
        <v>72</v>
      </c>
      <c r="E92" s="181" t="s">
        <v>59</v>
      </c>
      <c r="F92" s="449" t="s">
        <v>42</v>
      </c>
      <c r="G92" s="449" t="s">
        <v>43</v>
      </c>
      <c r="H92" s="449"/>
      <c r="I92" s="449" t="s">
        <v>44</v>
      </c>
      <c r="J92" s="449"/>
      <c r="K92" s="449"/>
      <c r="L92" s="449" t="s">
        <v>45</v>
      </c>
      <c r="M92" s="449"/>
    </row>
    <row r="93" spans="1:14" ht="70.5" thickBot="1">
      <c r="E93" s="183"/>
      <c r="F93" s="449"/>
      <c r="G93" s="8" t="s">
        <v>46</v>
      </c>
      <c r="H93" s="9" t="s">
        <v>61</v>
      </c>
      <c r="I93" s="8" t="s">
        <v>46</v>
      </c>
      <c r="J93" s="17" t="s">
        <v>61</v>
      </c>
      <c r="K93" s="10" t="s">
        <v>63</v>
      </c>
      <c r="L93" s="8" t="s">
        <v>46</v>
      </c>
      <c r="M93" s="9" t="s">
        <v>61</v>
      </c>
    </row>
    <row r="94" spans="1:14" ht="89.25" thickBot="1">
      <c r="E94" s="181" t="s">
        <v>70</v>
      </c>
      <c r="F94" s="36" t="s">
        <v>47</v>
      </c>
      <c r="G94" s="23">
        <v>19</v>
      </c>
      <c r="H94" s="23"/>
      <c r="I94" s="23">
        <v>17</v>
      </c>
      <c r="J94" s="23"/>
      <c r="K94" s="23">
        <v>5000</v>
      </c>
      <c r="L94" s="23">
        <v>4</v>
      </c>
      <c r="M94" s="23"/>
    </row>
    <row r="95" spans="1:14" ht="45" thickBot="1">
      <c r="E95" s="182"/>
      <c r="F95" s="37" t="s">
        <v>62</v>
      </c>
      <c r="G95" s="25">
        <v>619</v>
      </c>
      <c r="H95" s="23"/>
      <c r="I95" s="23">
        <v>224</v>
      </c>
      <c r="J95" s="23"/>
      <c r="K95" s="23">
        <v>57750</v>
      </c>
      <c r="L95" s="23">
        <v>44</v>
      </c>
      <c r="M95" s="23"/>
    </row>
    <row r="96" spans="1:14" ht="45" thickBot="1">
      <c r="E96" s="182"/>
      <c r="F96" s="37" t="s">
        <v>48</v>
      </c>
      <c r="G96" s="25">
        <v>24</v>
      </c>
      <c r="H96" s="23"/>
      <c r="I96" s="23"/>
      <c r="J96" s="23"/>
      <c r="K96" s="23"/>
      <c r="L96" s="23">
        <v>22</v>
      </c>
      <c r="M96" s="23"/>
    </row>
    <row r="97" spans="1:14" ht="45" thickBot="1">
      <c r="E97" s="182"/>
      <c r="F97" s="37" t="s">
        <v>49</v>
      </c>
      <c r="G97" s="33"/>
      <c r="H97" s="23"/>
      <c r="I97" s="23"/>
      <c r="J97" s="23"/>
      <c r="K97" s="23"/>
      <c r="L97" s="23"/>
      <c r="M97" s="23"/>
    </row>
    <row r="98" spans="1:14" ht="45" thickBot="1">
      <c r="E98" s="182"/>
      <c r="F98" s="38" t="s">
        <v>50</v>
      </c>
      <c r="G98" s="27"/>
      <c r="H98" s="23"/>
      <c r="I98" s="23"/>
      <c r="J98" s="23"/>
      <c r="K98" s="23"/>
      <c r="L98" s="23"/>
      <c r="M98" s="23"/>
    </row>
    <row r="99" spans="1:14" ht="45" thickBot="1">
      <c r="E99" s="183"/>
      <c r="F99" s="13" t="s">
        <v>41</v>
      </c>
      <c r="G99" s="14">
        <f t="shared" ref="G99:M99" si="14">SUM(G94:G98)</f>
        <v>662</v>
      </c>
      <c r="H99" s="15">
        <f t="shared" si="14"/>
        <v>0</v>
      </c>
      <c r="I99" s="14">
        <f t="shared" si="14"/>
        <v>241</v>
      </c>
      <c r="J99" s="18">
        <f t="shared" si="14"/>
        <v>0</v>
      </c>
      <c r="K99" s="22">
        <f t="shared" si="14"/>
        <v>62750</v>
      </c>
      <c r="L99" s="14">
        <f t="shared" si="14"/>
        <v>70</v>
      </c>
      <c r="M99" s="15">
        <f t="shared" si="14"/>
        <v>0</v>
      </c>
    </row>
    <row r="102" spans="1:14" ht="45" thickBot="1"/>
    <row r="103" spans="1:14" ht="45" thickBot="1">
      <c r="E103" s="181" t="s">
        <v>59</v>
      </c>
      <c r="F103" s="449" t="s">
        <v>42</v>
      </c>
      <c r="G103" s="449" t="s">
        <v>43</v>
      </c>
      <c r="H103" s="449"/>
      <c r="I103" s="449" t="s">
        <v>44</v>
      </c>
      <c r="J103" s="449"/>
      <c r="K103" s="449"/>
      <c r="L103" s="449" t="s">
        <v>45</v>
      </c>
      <c r="M103" s="449"/>
      <c r="N103" s="50"/>
    </row>
    <row r="104" spans="1:14" ht="70.5" thickBot="1">
      <c r="A104" s="107" t="s">
        <v>8</v>
      </c>
      <c r="E104" s="183"/>
      <c r="F104" s="449"/>
      <c r="G104" s="8" t="s">
        <v>46</v>
      </c>
      <c r="H104" s="9" t="s">
        <v>61</v>
      </c>
      <c r="I104" s="8" t="s">
        <v>46</v>
      </c>
      <c r="J104" s="17" t="s">
        <v>61</v>
      </c>
      <c r="K104" s="10" t="s">
        <v>63</v>
      </c>
      <c r="L104" s="8" t="s">
        <v>46</v>
      </c>
      <c r="M104" s="9" t="s">
        <v>61</v>
      </c>
      <c r="N104" s="51"/>
    </row>
    <row r="105" spans="1:14" ht="89.25" thickBot="1">
      <c r="E105" s="181" t="s">
        <v>70</v>
      </c>
      <c r="F105" s="36" t="s">
        <v>47</v>
      </c>
      <c r="G105" s="23"/>
      <c r="H105" s="23"/>
      <c r="I105" s="23"/>
      <c r="J105" s="23"/>
      <c r="K105" s="23"/>
      <c r="L105" s="23"/>
      <c r="M105" s="23"/>
      <c r="N105" s="52"/>
    </row>
    <row r="106" spans="1:14" ht="45" thickBot="1">
      <c r="E106" s="182"/>
      <c r="F106" s="37" t="s">
        <v>62</v>
      </c>
      <c r="G106" s="25"/>
      <c r="H106" s="23"/>
      <c r="I106" s="23"/>
      <c r="J106" s="23"/>
      <c r="K106" s="23"/>
      <c r="L106" s="23"/>
      <c r="M106" s="23"/>
      <c r="N106" s="52"/>
    </row>
    <row r="107" spans="1:14" ht="45" thickBot="1">
      <c r="E107" s="182"/>
      <c r="F107" s="37" t="s">
        <v>48</v>
      </c>
      <c r="G107" s="25"/>
      <c r="H107" s="23"/>
      <c r="I107" s="23"/>
      <c r="J107" s="23"/>
      <c r="K107" s="23"/>
      <c r="L107" s="23"/>
      <c r="M107" s="23"/>
      <c r="N107" s="52"/>
    </row>
    <row r="108" spans="1:14" ht="45" thickBot="1">
      <c r="E108" s="182"/>
      <c r="F108" s="37" t="s">
        <v>49</v>
      </c>
      <c r="G108" s="33"/>
      <c r="H108" s="23"/>
      <c r="I108" s="23"/>
      <c r="J108" s="23"/>
      <c r="K108" s="23"/>
      <c r="L108" s="23"/>
      <c r="M108" s="23"/>
      <c r="N108" s="52"/>
    </row>
    <row r="109" spans="1:14" ht="45" thickBot="1">
      <c r="E109" s="182"/>
      <c r="F109" s="38" t="s">
        <v>50</v>
      </c>
      <c r="G109" s="27"/>
      <c r="H109" s="23"/>
      <c r="I109" s="23"/>
      <c r="J109" s="23"/>
      <c r="K109" s="23"/>
      <c r="L109" s="23"/>
      <c r="M109" s="23"/>
      <c r="N109" s="52"/>
    </row>
    <row r="110" spans="1:14" ht="45" thickBot="1">
      <c r="E110" s="183"/>
      <c r="F110" s="13" t="s">
        <v>41</v>
      </c>
      <c r="G110" s="14">
        <f t="shared" ref="G110:M110" si="15">SUM(G105:G109)</f>
        <v>0</v>
      </c>
      <c r="H110" s="15">
        <f t="shared" si="15"/>
        <v>0</v>
      </c>
      <c r="I110" s="14">
        <f t="shared" si="15"/>
        <v>0</v>
      </c>
      <c r="J110" s="18">
        <f t="shared" si="15"/>
        <v>0</v>
      </c>
      <c r="K110" s="22">
        <f t="shared" si="15"/>
        <v>0</v>
      </c>
      <c r="L110" s="14">
        <f t="shared" si="15"/>
        <v>0</v>
      </c>
      <c r="M110" s="15">
        <f t="shared" si="15"/>
        <v>0</v>
      </c>
      <c r="N110" s="54"/>
    </row>
    <row r="111" spans="1:14" ht="45" thickBot="1"/>
    <row r="112" spans="1:14" ht="45" thickBot="1">
      <c r="E112" s="181" t="s">
        <v>59</v>
      </c>
      <c r="F112" s="449" t="s">
        <v>42</v>
      </c>
      <c r="G112" s="449" t="s">
        <v>43</v>
      </c>
      <c r="H112" s="449"/>
      <c r="I112" s="449" t="s">
        <v>44</v>
      </c>
      <c r="J112" s="449"/>
      <c r="K112" s="449"/>
      <c r="L112" s="449" t="s">
        <v>45</v>
      </c>
      <c r="M112" s="449"/>
      <c r="N112" s="50"/>
    </row>
    <row r="113" spans="1:14" ht="70.5" thickBot="1">
      <c r="A113" s="107" t="s">
        <v>9</v>
      </c>
      <c r="E113" s="183"/>
      <c r="F113" s="449"/>
      <c r="G113" s="8" t="s">
        <v>46</v>
      </c>
      <c r="H113" s="9" t="s">
        <v>61</v>
      </c>
      <c r="I113" s="8" t="s">
        <v>46</v>
      </c>
      <c r="J113" s="17" t="s">
        <v>61</v>
      </c>
      <c r="K113" s="10" t="s">
        <v>63</v>
      </c>
      <c r="L113" s="8" t="s">
        <v>46</v>
      </c>
      <c r="M113" s="9" t="s">
        <v>61</v>
      </c>
      <c r="N113" s="51"/>
    </row>
    <row r="114" spans="1:14" ht="89.25" thickBot="1">
      <c r="E114" s="181" t="s">
        <v>70</v>
      </c>
      <c r="F114" s="36" t="s">
        <v>47</v>
      </c>
      <c r="G114" s="23">
        <v>3573</v>
      </c>
      <c r="H114" s="24">
        <v>126</v>
      </c>
      <c r="I114" s="23">
        <v>3303</v>
      </c>
      <c r="J114" s="23">
        <v>122</v>
      </c>
      <c r="K114" s="45">
        <f>423143.238+159761.281</f>
        <v>582904.51899999997</v>
      </c>
      <c r="L114" s="23">
        <v>77</v>
      </c>
      <c r="M114" s="24"/>
      <c r="N114" s="52"/>
    </row>
    <row r="115" spans="1:14" ht="45" thickBot="1">
      <c r="E115" s="182"/>
      <c r="F115" s="37" t="s">
        <v>62</v>
      </c>
      <c r="G115" s="25">
        <v>406</v>
      </c>
      <c r="H115" s="26">
        <v>3</v>
      </c>
      <c r="I115" s="25">
        <v>291</v>
      </c>
      <c r="J115" s="23">
        <v>3</v>
      </c>
      <c r="K115" s="45">
        <f>73075+750</f>
        <v>73825</v>
      </c>
      <c r="L115" s="25">
        <v>100</v>
      </c>
      <c r="M115" s="26"/>
      <c r="N115" s="52"/>
    </row>
    <row r="116" spans="1:14" ht="45" thickBot="1">
      <c r="E116" s="182"/>
      <c r="F116" s="37" t="s">
        <v>48</v>
      </c>
      <c r="G116" s="25">
        <v>200</v>
      </c>
      <c r="H116" s="26">
        <v>18</v>
      </c>
      <c r="I116" s="25">
        <v>141</v>
      </c>
      <c r="J116" s="23">
        <v>12</v>
      </c>
      <c r="K116" s="45">
        <f>16035+1600</f>
        <v>17635</v>
      </c>
      <c r="L116" s="25">
        <v>30</v>
      </c>
      <c r="M116" s="26"/>
      <c r="N116" s="52"/>
    </row>
    <row r="117" spans="1:14" ht="45" thickBot="1">
      <c r="E117" s="182"/>
      <c r="F117" s="37" t="s">
        <v>49</v>
      </c>
      <c r="G117" s="33"/>
      <c r="H117" s="26"/>
      <c r="I117" s="33"/>
      <c r="J117" s="23"/>
      <c r="K117" s="45"/>
      <c r="L117" s="33"/>
      <c r="M117" s="26"/>
      <c r="N117" s="52"/>
    </row>
    <row r="118" spans="1:14" ht="45" thickBot="1">
      <c r="E118" s="182"/>
      <c r="F118" s="38" t="s">
        <v>50</v>
      </c>
      <c r="G118" s="27"/>
      <c r="H118" s="28"/>
      <c r="I118" s="27"/>
      <c r="J118" s="23"/>
      <c r="K118" s="45"/>
      <c r="L118" s="27"/>
      <c r="M118" s="28"/>
      <c r="N118" s="53"/>
    </row>
    <row r="119" spans="1:14" ht="45" thickBot="1">
      <c r="E119" s="183"/>
      <c r="F119" s="13" t="s">
        <v>41</v>
      </c>
      <c r="G119" s="14">
        <f t="shared" ref="G119:M119" si="16">SUM(G114:G118)</f>
        <v>4179</v>
      </c>
      <c r="H119" s="15">
        <f t="shared" si="16"/>
        <v>147</v>
      </c>
      <c r="I119" s="14">
        <f t="shared" si="16"/>
        <v>3735</v>
      </c>
      <c r="J119" s="18">
        <f t="shared" si="16"/>
        <v>137</v>
      </c>
      <c r="K119" s="22">
        <f t="shared" si="16"/>
        <v>674364.51899999997</v>
      </c>
      <c r="L119" s="14">
        <f t="shared" si="16"/>
        <v>207</v>
      </c>
      <c r="M119" s="15">
        <f t="shared" si="16"/>
        <v>0</v>
      </c>
      <c r="N119" s="54"/>
    </row>
    <row r="120" spans="1:14" ht="45" thickBot="1"/>
    <row r="121" spans="1:14" ht="45" thickBot="1">
      <c r="E121" s="181" t="s">
        <v>59</v>
      </c>
      <c r="F121" s="449" t="s">
        <v>42</v>
      </c>
      <c r="G121" s="449" t="s">
        <v>43</v>
      </c>
      <c r="H121" s="449"/>
      <c r="I121" s="449" t="s">
        <v>44</v>
      </c>
      <c r="J121" s="449"/>
      <c r="K121" s="449"/>
      <c r="L121" s="449" t="s">
        <v>45</v>
      </c>
      <c r="M121" s="449"/>
      <c r="N121" s="50"/>
    </row>
    <row r="122" spans="1:14" ht="70.5" thickBot="1">
      <c r="A122" s="107" t="s">
        <v>10</v>
      </c>
      <c r="E122" s="183"/>
      <c r="F122" s="449"/>
      <c r="G122" s="8" t="s">
        <v>46</v>
      </c>
      <c r="H122" s="9" t="s">
        <v>61</v>
      </c>
      <c r="I122" s="8" t="s">
        <v>46</v>
      </c>
      <c r="J122" s="17" t="s">
        <v>61</v>
      </c>
      <c r="K122" s="10" t="s">
        <v>63</v>
      </c>
      <c r="L122" s="8" t="s">
        <v>46</v>
      </c>
      <c r="M122" s="9" t="s">
        <v>61</v>
      </c>
      <c r="N122" s="51"/>
    </row>
    <row r="123" spans="1:14" ht="89.25" thickBot="1">
      <c r="E123" s="181" t="s">
        <v>70</v>
      </c>
      <c r="F123" s="36" t="s">
        <v>47</v>
      </c>
      <c r="G123" s="23">
        <v>414</v>
      </c>
      <c r="H123" s="24">
        <v>1</v>
      </c>
      <c r="I123" s="23">
        <v>337</v>
      </c>
      <c r="J123" s="57"/>
      <c r="K123" s="40">
        <v>21895</v>
      </c>
      <c r="L123" s="23">
        <v>60</v>
      </c>
      <c r="M123" s="24">
        <v>2</v>
      </c>
      <c r="N123" s="52"/>
    </row>
    <row r="124" spans="1:14" ht="45" thickBot="1">
      <c r="E124" s="182"/>
      <c r="F124" s="37" t="s">
        <v>62</v>
      </c>
      <c r="G124" s="25">
        <v>80</v>
      </c>
      <c r="H124" s="26"/>
      <c r="I124" s="25">
        <v>51</v>
      </c>
      <c r="J124" s="58"/>
      <c r="K124" s="40">
        <v>11250</v>
      </c>
      <c r="L124" s="25">
        <v>2</v>
      </c>
      <c r="M124" s="26"/>
      <c r="N124" s="52"/>
    </row>
    <row r="125" spans="1:14" ht="45" thickBot="1">
      <c r="E125" s="182"/>
      <c r="F125" s="37" t="s">
        <v>48</v>
      </c>
      <c r="G125" s="25">
        <v>98</v>
      </c>
      <c r="H125" s="26"/>
      <c r="I125" s="25">
        <v>17</v>
      </c>
      <c r="J125" s="58"/>
      <c r="K125" s="40">
        <v>3710</v>
      </c>
      <c r="L125" s="25">
        <v>29</v>
      </c>
      <c r="M125" s="26"/>
      <c r="N125" s="52"/>
    </row>
    <row r="126" spans="1:14" ht="45" thickBot="1">
      <c r="E126" s="182"/>
      <c r="F126" s="37" t="s">
        <v>49</v>
      </c>
      <c r="G126" s="33"/>
      <c r="H126" s="26">
        <v>1</v>
      </c>
      <c r="I126" s="33"/>
      <c r="J126" s="58"/>
      <c r="K126" s="40"/>
      <c r="L126" s="33"/>
      <c r="M126" s="26">
        <v>6</v>
      </c>
      <c r="N126" s="52"/>
    </row>
    <row r="127" spans="1:14" ht="45" thickBot="1">
      <c r="E127" s="182"/>
      <c r="F127" s="38" t="s">
        <v>50</v>
      </c>
      <c r="G127" s="27"/>
      <c r="H127" s="28"/>
      <c r="I127" s="27"/>
      <c r="J127" s="59"/>
      <c r="K127" s="40"/>
      <c r="L127" s="27"/>
      <c r="M127" s="28"/>
      <c r="N127" s="53"/>
    </row>
    <row r="128" spans="1:14" ht="45" thickBot="1">
      <c r="E128" s="183"/>
      <c r="F128" s="13" t="s">
        <v>41</v>
      </c>
      <c r="G128" s="14">
        <f t="shared" ref="G128:M128" si="17">SUM(G123:G127)</f>
        <v>592</v>
      </c>
      <c r="H128" s="15">
        <f t="shared" si="17"/>
        <v>2</v>
      </c>
      <c r="I128" s="14">
        <f t="shared" si="17"/>
        <v>405</v>
      </c>
      <c r="J128" s="60">
        <f t="shared" si="17"/>
        <v>0</v>
      </c>
      <c r="K128" s="22">
        <f t="shared" si="17"/>
        <v>36855</v>
      </c>
      <c r="L128" s="14">
        <f t="shared" si="17"/>
        <v>91</v>
      </c>
      <c r="M128" s="15">
        <f t="shared" si="17"/>
        <v>8</v>
      </c>
      <c r="N128" s="54"/>
    </row>
    <row r="129" spans="1:14" ht="45" thickBot="1"/>
    <row r="130" spans="1:14" ht="45" thickBot="1">
      <c r="E130" s="181" t="s">
        <v>59</v>
      </c>
      <c r="F130" s="449" t="s">
        <v>42</v>
      </c>
      <c r="G130" s="449" t="s">
        <v>43</v>
      </c>
      <c r="H130" s="449"/>
      <c r="I130" s="449" t="s">
        <v>44</v>
      </c>
      <c r="J130" s="449"/>
      <c r="K130" s="449"/>
      <c r="L130" s="449" t="s">
        <v>45</v>
      </c>
      <c r="M130" s="449"/>
      <c r="N130" s="50"/>
    </row>
    <row r="131" spans="1:14" ht="70.5" thickBot="1">
      <c r="E131" s="183"/>
      <c r="F131" s="449"/>
      <c r="G131" s="8" t="s">
        <v>46</v>
      </c>
      <c r="H131" s="9" t="s">
        <v>61</v>
      </c>
      <c r="I131" s="8" t="s">
        <v>46</v>
      </c>
      <c r="J131" s="17" t="s">
        <v>61</v>
      </c>
      <c r="K131" s="10" t="s">
        <v>63</v>
      </c>
      <c r="L131" s="8" t="s">
        <v>46</v>
      </c>
      <c r="M131" s="9" t="s">
        <v>61</v>
      </c>
      <c r="N131" s="51"/>
    </row>
    <row r="132" spans="1:14" ht="89.25" thickBot="1">
      <c r="A132" s="107" t="s">
        <v>11</v>
      </c>
      <c r="E132" s="181" t="s">
        <v>70</v>
      </c>
      <c r="F132" s="36" t="s">
        <v>47</v>
      </c>
      <c r="G132" s="23">
        <v>1061</v>
      </c>
      <c r="H132" s="24"/>
      <c r="I132" s="23">
        <v>1017</v>
      </c>
      <c r="J132" s="29"/>
      <c r="K132" s="40">
        <v>44048.027999999998</v>
      </c>
      <c r="L132" s="23">
        <v>98</v>
      </c>
      <c r="M132" s="24"/>
      <c r="N132" s="52"/>
    </row>
    <row r="133" spans="1:14" ht="45" thickBot="1">
      <c r="E133" s="182"/>
      <c r="F133" s="37" t="s">
        <v>62</v>
      </c>
      <c r="G133" s="25">
        <v>248</v>
      </c>
      <c r="H133" s="26"/>
      <c r="I133" s="25">
        <v>133</v>
      </c>
      <c r="J133" s="31"/>
      <c r="K133" s="40">
        <v>33500</v>
      </c>
      <c r="L133" s="25">
        <v>129</v>
      </c>
      <c r="M133" s="26"/>
      <c r="N133" s="52"/>
    </row>
    <row r="134" spans="1:14" ht="45" thickBot="1">
      <c r="E134" s="182"/>
      <c r="F134" s="37" t="s">
        <v>48</v>
      </c>
      <c r="G134" s="25">
        <v>7</v>
      </c>
      <c r="H134" s="26"/>
      <c r="I134" s="25">
        <v>1</v>
      </c>
      <c r="J134" s="31"/>
      <c r="K134" s="40">
        <v>2000</v>
      </c>
      <c r="L134" s="25">
        <v>17</v>
      </c>
      <c r="M134" s="26"/>
      <c r="N134" s="52"/>
    </row>
    <row r="135" spans="1:14" ht="45" thickBot="1">
      <c r="E135" s="182"/>
      <c r="F135" s="37" t="s">
        <v>49</v>
      </c>
      <c r="G135" s="33"/>
      <c r="H135" s="26"/>
      <c r="I135" s="33"/>
      <c r="J135" s="31"/>
      <c r="K135" s="40"/>
      <c r="L135" s="33"/>
      <c r="M135" s="26"/>
      <c r="N135" s="52"/>
    </row>
    <row r="136" spans="1:14" ht="45" thickBot="1">
      <c r="E136" s="182"/>
      <c r="F136" s="38" t="s">
        <v>50</v>
      </c>
      <c r="G136" s="27"/>
      <c r="H136" s="28"/>
      <c r="I136" s="27"/>
      <c r="J136" s="34"/>
      <c r="K136" s="40"/>
      <c r="L136" s="27"/>
      <c r="M136" s="28"/>
      <c r="N136" s="53"/>
    </row>
    <row r="137" spans="1:14" ht="45" thickBot="1">
      <c r="E137" s="183"/>
      <c r="F137" s="13" t="s">
        <v>41</v>
      </c>
      <c r="G137" s="14">
        <f t="shared" ref="G137:M137" si="18">SUM(G132:G136)</f>
        <v>1316</v>
      </c>
      <c r="H137" s="15">
        <f t="shared" si="18"/>
        <v>0</v>
      </c>
      <c r="I137" s="14">
        <f t="shared" si="18"/>
        <v>1151</v>
      </c>
      <c r="J137" s="18">
        <f t="shared" si="18"/>
        <v>0</v>
      </c>
      <c r="K137" s="22">
        <f t="shared" si="18"/>
        <v>79548.027999999991</v>
      </c>
      <c r="L137" s="14">
        <f t="shared" si="18"/>
        <v>244</v>
      </c>
      <c r="M137" s="15">
        <f t="shared" si="18"/>
        <v>0</v>
      </c>
      <c r="N137" s="54"/>
    </row>
    <row r="138" spans="1:14" ht="45" thickBot="1"/>
    <row r="139" spans="1:14" ht="45" thickBot="1">
      <c r="E139" s="181" t="s">
        <v>59</v>
      </c>
      <c r="F139" s="449" t="s">
        <v>42</v>
      </c>
      <c r="G139" s="449" t="s">
        <v>43</v>
      </c>
      <c r="H139" s="449"/>
      <c r="I139" s="449" t="s">
        <v>44</v>
      </c>
      <c r="J139" s="449"/>
      <c r="K139" s="449"/>
      <c r="L139" s="449" t="s">
        <v>45</v>
      </c>
      <c r="M139" s="449"/>
      <c r="N139" s="50"/>
    </row>
    <row r="140" spans="1:14" ht="70.5" thickBot="1">
      <c r="A140" s="107" t="s">
        <v>12</v>
      </c>
      <c r="E140" s="183"/>
      <c r="F140" s="449"/>
      <c r="G140" s="8" t="s">
        <v>46</v>
      </c>
      <c r="H140" s="9" t="s">
        <v>61</v>
      </c>
      <c r="I140" s="8" t="s">
        <v>46</v>
      </c>
      <c r="J140" s="17" t="s">
        <v>61</v>
      </c>
      <c r="K140" s="10" t="s">
        <v>63</v>
      </c>
      <c r="L140" s="8" t="s">
        <v>46</v>
      </c>
      <c r="M140" s="9" t="s">
        <v>61</v>
      </c>
      <c r="N140" s="51"/>
    </row>
    <row r="141" spans="1:14" ht="89.25" thickBot="1">
      <c r="E141" s="181" t="s">
        <v>70</v>
      </c>
      <c r="F141" s="36" t="s">
        <v>47</v>
      </c>
      <c r="G141" s="23">
        <v>987</v>
      </c>
      <c r="H141" s="24"/>
      <c r="I141" s="23">
        <f>757+42</f>
        <v>799</v>
      </c>
      <c r="J141" s="57"/>
      <c r="K141" s="40">
        <f>96765+1275</f>
        <v>98040</v>
      </c>
      <c r="L141" s="23">
        <v>1</v>
      </c>
      <c r="M141" s="24"/>
      <c r="N141" s="52"/>
    </row>
    <row r="142" spans="1:14" ht="45" thickBot="1">
      <c r="E142" s="182"/>
      <c r="F142" s="37" t="s">
        <v>62</v>
      </c>
      <c r="G142" s="25">
        <v>1396</v>
      </c>
      <c r="H142" s="26"/>
      <c r="I142" s="25">
        <v>1163</v>
      </c>
      <c r="J142" s="58"/>
      <c r="K142" s="40">
        <v>316750</v>
      </c>
      <c r="L142" s="25">
        <v>109</v>
      </c>
      <c r="M142" s="26"/>
      <c r="N142" s="52"/>
    </row>
    <row r="143" spans="1:14" ht="45" thickBot="1">
      <c r="E143" s="182"/>
      <c r="F143" s="37" t="s">
        <v>48</v>
      </c>
      <c r="G143" s="25">
        <v>21</v>
      </c>
      <c r="H143" s="26"/>
      <c r="I143" s="25">
        <v>1</v>
      </c>
      <c r="J143" s="25"/>
      <c r="K143" s="40">
        <v>100</v>
      </c>
      <c r="L143" s="25"/>
      <c r="M143" s="26"/>
      <c r="N143" s="52"/>
    </row>
    <row r="144" spans="1:14" ht="45" thickBot="1">
      <c r="E144" s="182"/>
      <c r="F144" s="37" t="s">
        <v>49</v>
      </c>
      <c r="G144" s="33">
        <v>1</v>
      </c>
      <c r="H144" s="26"/>
      <c r="I144" s="33"/>
      <c r="J144" s="27"/>
      <c r="K144" s="40"/>
      <c r="L144" s="33"/>
      <c r="M144" s="26"/>
      <c r="N144" s="52"/>
    </row>
    <row r="145" spans="1:14" ht="45" thickBot="1">
      <c r="E145" s="182"/>
      <c r="F145" s="38" t="s">
        <v>50</v>
      </c>
      <c r="G145" s="27"/>
      <c r="H145" s="28"/>
      <c r="I145" s="27"/>
      <c r="J145" s="59"/>
      <c r="K145" s="40"/>
      <c r="L145" s="27"/>
      <c r="M145" s="28"/>
      <c r="N145" s="53"/>
    </row>
    <row r="146" spans="1:14" ht="45" thickBot="1">
      <c r="E146" s="183"/>
      <c r="F146" s="13" t="s">
        <v>41</v>
      </c>
      <c r="G146" s="14">
        <f t="shared" ref="G146:M146" si="19">SUM(G141:G145)</f>
        <v>2405</v>
      </c>
      <c r="H146" s="15">
        <f t="shared" si="19"/>
        <v>0</v>
      </c>
      <c r="I146" s="14">
        <f t="shared" si="19"/>
        <v>1963</v>
      </c>
      <c r="J146" s="14">
        <f t="shared" si="19"/>
        <v>0</v>
      </c>
      <c r="K146" s="22">
        <f t="shared" si="19"/>
        <v>414890</v>
      </c>
      <c r="L146" s="14">
        <f t="shared" si="19"/>
        <v>110</v>
      </c>
      <c r="M146" s="15">
        <f t="shared" si="19"/>
        <v>0</v>
      </c>
      <c r="N146" s="54"/>
    </row>
    <row r="147" spans="1:14" ht="45" thickBot="1"/>
    <row r="148" spans="1:14" ht="45" thickBot="1">
      <c r="E148" s="181" t="s">
        <v>59</v>
      </c>
      <c r="F148" s="449" t="s">
        <v>42</v>
      </c>
      <c r="G148" s="449" t="s">
        <v>43</v>
      </c>
      <c r="H148" s="449"/>
      <c r="I148" s="449" t="s">
        <v>44</v>
      </c>
      <c r="J148" s="449"/>
      <c r="K148" s="449"/>
      <c r="L148" s="449" t="s">
        <v>45</v>
      </c>
      <c r="M148" s="449"/>
      <c r="N148" s="50"/>
    </row>
    <row r="149" spans="1:14" ht="70.5" thickBot="1">
      <c r="A149" s="107" t="s">
        <v>13</v>
      </c>
      <c r="E149" s="183"/>
      <c r="F149" s="449"/>
      <c r="G149" s="8" t="s">
        <v>46</v>
      </c>
      <c r="H149" s="9" t="s">
        <v>61</v>
      </c>
      <c r="I149" s="8" t="s">
        <v>46</v>
      </c>
      <c r="J149" s="17" t="s">
        <v>61</v>
      </c>
      <c r="K149" s="10" t="s">
        <v>63</v>
      </c>
      <c r="L149" s="8" t="s">
        <v>46</v>
      </c>
      <c r="M149" s="9" t="s">
        <v>61</v>
      </c>
      <c r="N149" s="51"/>
    </row>
    <row r="150" spans="1:14" ht="88.5">
      <c r="E150" s="181" t="s">
        <v>70</v>
      </c>
      <c r="F150" s="36" t="s">
        <v>47</v>
      </c>
      <c r="G150" s="23"/>
      <c r="H150" s="24"/>
      <c r="I150" s="23"/>
      <c r="J150" s="29"/>
      <c r="K150" s="30"/>
      <c r="L150" s="23"/>
      <c r="M150" s="24"/>
      <c r="N150" s="52"/>
    </row>
    <row r="151" spans="1:14">
      <c r="E151" s="182"/>
      <c r="F151" s="37" t="s">
        <v>62</v>
      </c>
      <c r="G151" s="25">
        <v>60</v>
      </c>
      <c r="H151" s="26"/>
      <c r="I151" s="25"/>
      <c r="J151" s="31"/>
      <c r="K151" s="32"/>
      <c r="L151" s="25">
        <v>60</v>
      </c>
      <c r="M151" s="26"/>
      <c r="N151" s="52"/>
    </row>
    <row r="152" spans="1:14">
      <c r="E152" s="182"/>
      <c r="F152" s="37" t="s">
        <v>48</v>
      </c>
      <c r="G152" s="25">
        <v>12</v>
      </c>
      <c r="H152" s="26"/>
      <c r="I152" s="25">
        <v>6</v>
      </c>
      <c r="J152" s="31"/>
      <c r="K152" s="32">
        <v>575</v>
      </c>
      <c r="L152" s="25">
        <v>6</v>
      </c>
      <c r="M152" s="26"/>
      <c r="N152" s="52"/>
    </row>
    <row r="153" spans="1:14" ht="45" thickBot="1">
      <c r="E153" s="182"/>
      <c r="F153" s="37" t="s">
        <v>49</v>
      </c>
      <c r="G153" s="33"/>
      <c r="H153" s="26"/>
      <c r="I153" s="33"/>
      <c r="J153" s="31"/>
      <c r="K153" s="32"/>
      <c r="L153" s="33"/>
      <c r="M153" s="26"/>
      <c r="N153" s="52"/>
    </row>
    <row r="154" spans="1:14" ht="45" thickBot="1">
      <c r="E154" s="182"/>
      <c r="F154" s="38" t="s">
        <v>50</v>
      </c>
      <c r="G154" s="27"/>
      <c r="H154" s="28"/>
      <c r="I154" s="27"/>
      <c r="J154" s="34"/>
      <c r="K154" s="40"/>
      <c r="L154" s="27"/>
      <c r="M154" s="28"/>
      <c r="N154" s="53"/>
    </row>
    <row r="155" spans="1:14" ht="45" thickBot="1">
      <c r="E155" s="183"/>
      <c r="F155" s="13" t="s">
        <v>41</v>
      </c>
      <c r="G155" s="14">
        <f t="shared" ref="G155:M155" si="20">SUM(G150:G154)</f>
        <v>72</v>
      </c>
      <c r="H155" s="15">
        <f t="shared" si="20"/>
        <v>0</v>
      </c>
      <c r="I155" s="14">
        <f t="shared" si="20"/>
        <v>6</v>
      </c>
      <c r="J155" s="18">
        <f t="shared" si="20"/>
        <v>0</v>
      </c>
      <c r="K155" s="22">
        <f t="shared" si="20"/>
        <v>575</v>
      </c>
      <c r="L155" s="14">
        <f t="shared" si="20"/>
        <v>66</v>
      </c>
      <c r="M155" s="15">
        <f t="shared" si="20"/>
        <v>0</v>
      </c>
      <c r="N155" s="54"/>
    </row>
    <row r="156" spans="1:14" ht="45" thickBot="1"/>
    <row r="157" spans="1:14" ht="45" thickBot="1">
      <c r="E157" s="181" t="s">
        <v>59</v>
      </c>
      <c r="F157" s="449" t="s">
        <v>42</v>
      </c>
      <c r="G157" s="449" t="s">
        <v>43</v>
      </c>
      <c r="H157" s="449"/>
      <c r="I157" s="449" t="s">
        <v>44</v>
      </c>
      <c r="J157" s="449"/>
      <c r="K157" s="449"/>
      <c r="L157" s="449" t="s">
        <v>45</v>
      </c>
      <c r="M157" s="449"/>
      <c r="N157" s="50"/>
    </row>
    <row r="158" spans="1:14" ht="70.5" thickBot="1">
      <c r="A158" s="107" t="s">
        <v>14</v>
      </c>
      <c r="E158" s="183"/>
      <c r="F158" s="449"/>
      <c r="G158" s="8" t="s">
        <v>46</v>
      </c>
      <c r="H158" s="9" t="s">
        <v>61</v>
      </c>
      <c r="I158" s="8" t="s">
        <v>46</v>
      </c>
      <c r="J158" s="17" t="s">
        <v>61</v>
      </c>
      <c r="K158" s="10" t="s">
        <v>63</v>
      </c>
      <c r="L158" s="8" t="s">
        <v>46</v>
      </c>
      <c r="M158" s="9" t="s">
        <v>61</v>
      </c>
      <c r="N158" s="51"/>
    </row>
    <row r="159" spans="1:14" ht="89.25" thickBot="1">
      <c r="E159" s="181" t="s">
        <v>70</v>
      </c>
      <c r="F159" s="36" t="s">
        <v>47</v>
      </c>
      <c r="G159" s="23">
        <v>1204</v>
      </c>
      <c r="H159" s="24"/>
      <c r="I159" s="23">
        <v>1098</v>
      </c>
      <c r="J159" s="29"/>
      <c r="K159" s="40">
        <v>10756</v>
      </c>
      <c r="L159" s="23">
        <v>78</v>
      </c>
      <c r="M159" s="24"/>
      <c r="N159" s="52"/>
    </row>
    <row r="160" spans="1:14" ht="45" thickBot="1">
      <c r="E160" s="182"/>
      <c r="F160" s="37" t="s">
        <v>62</v>
      </c>
      <c r="G160" s="25">
        <v>56</v>
      </c>
      <c r="H160" s="26"/>
      <c r="I160" s="25">
        <v>50</v>
      </c>
      <c r="J160" s="31"/>
      <c r="K160" s="40">
        <v>12250</v>
      </c>
      <c r="L160" s="25">
        <v>1</v>
      </c>
      <c r="M160" s="26"/>
      <c r="N160" s="52"/>
    </row>
    <row r="161" spans="2:14" ht="45" thickBot="1">
      <c r="E161" s="182"/>
      <c r="F161" s="37" t="s">
        <v>48</v>
      </c>
      <c r="G161" s="25">
        <v>1</v>
      </c>
      <c r="H161" s="26"/>
      <c r="I161" s="25"/>
      <c r="J161" s="31"/>
      <c r="K161" s="40"/>
      <c r="L161" s="25">
        <v>1</v>
      </c>
      <c r="M161" s="26"/>
      <c r="N161" s="52"/>
    </row>
    <row r="162" spans="2:14" ht="45" thickBot="1">
      <c r="E162" s="182"/>
      <c r="F162" s="37" t="s">
        <v>49</v>
      </c>
      <c r="G162" s="33"/>
      <c r="H162" s="26"/>
      <c r="I162" s="33"/>
      <c r="J162" s="31"/>
      <c r="K162" s="40"/>
      <c r="L162" s="33"/>
      <c r="M162" s="26"/>
      <c r="N162" s="52"/>
    </row>
    <row r="163" spans="2:14" ht="45" thickBot="1">
      <c r="E163" s="182"/>
      <c r="F163" s="38" t="s">
        <v>50</v>
      </c>
      <c r="G163" s="27"/>
      <c r="H163" s="28"/>
      <c r="I163" s="27"/>
      <c r="J163" s="34"/>
      <c r="K163" s="40"/>
      <c r="L163" s="27"/>
      <c r="M163" s="28"/>
      <c r="N163" s="53"/>
    </row>
    <row r="164" spans="2:14" ht="45" thickBot="1">
      <c r="E164" s="183"/>
      <c r="F164" s="13" t="s">
        <v>41</v>
      </c>
      <c r="G164" s="14">
        <f t="shared" ref="G164:M164" si="21">SUM(G159:G163)</f>
        <v>1261</v>
      </c>
      <c r="H164" s="15">
        <f t="shared" si="21"/>
        <v>0</v>
      </c>
      <c r="I164" s="14">
        <f t="shared" si="21"/>
        <v>1148</v>
      </c>
      <c r="J164" s="18">
        <f t="shared" si="21"/>
        <v>0</v>
      </c>
      <c r="K164" s="22">
        <f t="shared" si="21"/>
        <v>23006</v>
      </c>
      <c r="L164" s="14">
        <f t="shared" si="21"/>
        <v>80</v>
      </c>
      <c r="M164" s="15">
        <f t="shared" si="21"/>
        <v>0</v>
      </c>
      <c r="N164" s="54"/>
    </row>
    <row r="165" spans="2:14" ht="45" thickBot="1"/>
    <row r="166" spans="2:14" ht="45" thickBot="1">
      <c r="E166" s="181" t="s">
        <v>59</v>
      </c>
      <c r="F166" s="449" t="s">
        <v>42</v>
      </c>
      <c r="G166" s="449" t="s">
        <v>43</v>
      </c>
      <c r="H166" s="449"/>
      <c r="I166" s="449" t="s">
        <v>44</v>
      </c>
      <c r="J166" s="449"/>
      <c r="K166" s="449"/>
      <c r="L166" s="449" t="s">
        <v>45</v>
      </c>
      <c r="M166" s="449"/>
      <c r="N166" s="50"/>
    </row>
    <row r="167" spans="2:14" ht="70.5" thickBot="1">
      <c r="B167" s="184" t="s">
        <v>15</v>
      </c>
      <c r="E167" s="183"/>
      <c r="F167" s="449"/>
      <c r="G167" s="8" t="s">
        <v>46</v>
      </c>
      <c r="H167" s="9" t="s">
        <v>61</v>
      </c>
      <c r="I167" s="8" t="s">
        <v>46</v>
      </c>
      <c r="J167" s="17" t="s">
        <v>61</v>
      </c>
      <c r="K167" s="10" t="s">
        <v>63</v>
      </c>
      <c r="L167" s="8" t="s">
        <v>46</v>
      </c>
      <c r="M167" s="9" t="s">
        <v>61</v>
      </c>
      <c r="N167" s="51"/>
    </row>
    <row r="168" spans="2:14" ht="88.5">
      <c r="E168" s="181" t="s">
        <v>70</v>
      </c>
      <c r="F168" s="36" t="s">
        <v>47</v>
      </c>
      <c r="G168" s="23">
        <v>270</v>
      </c>
      <c r="H168" s="24"/>
      <c r="I168" s="23">
        <v>218</v>
      </c>
      <c r="J168" s="29"/>
      <c r="K168" s="40">
        <f>14100+3510</f>
        <v>17610</v>
      </c>
      <c r="L168" s="23">
        <v>27</v>
      </c>
      <c r="M168" s="24"/>
      <c r="N168" s="52"/>
    </row>
    <row r="169" spans="2:14">
      <c r="E169" s="182"/>
      <c r="F169" s="37" t="s">
        <v>62</v>
      </c>
      <c r="G169" s="25">
        <v>516</v>
      </c>
      <c r="H169" s="26"/>
      <c r="I169" s="25">
        <v>460</v>
      </c>
      <c r="J169" s="31"/>
      <c r="K169" s="41">
        <v>20115</v>
      </c>
      <c r="L169" s="25">
        <v>13</v>
      </c>
      <c r="M169" s="26"/>
      <c r="N169" s="52"/>
    </row>
    <row r="170" spans="2:14">
      <c r="E170" s="182"/>
      <c r="F170" s="37" t="s">
        <v>48</v>
      </c>
      <c r="G170" s="25">
        <v>3</v>
      </c>
      <c r="H170" s="26"/>
      <c r="I170" s="25">
        <v>2</v>
      </c>
      <c r="J170" s="31"/>
      <c r="K170" s="41">
        <v>1500</v>
      </c>
      <c r="L170" s="25">
        <v>29</v>
      </c>
      <c r="M170" s="26"/>
      <c r="N170" s="52"/>
    </row>
    <row r="171" spans="2:14">
      <c r="E171" s="182"/>
      <c r="F171" s="37" t="s">
        <v>49</v>
      </c>
      <c r="G171" s="33"/>
      <c r="H171" s="26"/>
      <c r="I171" s="33"/>
      <c r="J171" s="31"/>
      <c r="K171" s="41"/>
      <c r="L171" s="33"/>
      <c r="M171" s="26"/>
      <c r="N171" s="52"/>
    </row>
    <row r="172" spans="2:14" ht="45" thickBot="1">
      <c r="E172" s="182"/>
      <c r="F172" s="38" t="s">
        <v>50</v>
      </c>
      <c r="G172" s="27"/>
      <c r="H172" s="28"/>
      <c r="I172" s="27"/>
      <c r="J172" s="34"/>
      <c r="K172" s="42"/>
      <c r="L172" s="27"/>
      <c r="M172" s="28"/>
      <c r="N172" s="53"/>
    </row>
    <row r="173" spans="2:14" ht="45" thickBot="1">
      <c r="E173" s="183"/>
      <c r="F173" s="13" t="s">
        <v>41</v>
      </c>
      <c r="G173" s="14">
        <f t="shared" ref="G173:M173" si="22">SUM(G168:G172)</f>
        <v>789</v>
      </c>
      <c r="H173" s="15">
        <f t="shared" si="22"/>
        <v>0</v>
      </c>
      <c r="I173" s="14">
        <f t="shared" si="22"/>
        <v>680</v>
      </c>
      <c r="J173" s="18">
        <f t="shared" si="22"/>
        <v>0</v>
      </c>
      <c r="K173" s="22">
        <f t="shared" si="22"/>
        <v>39225</v>
      </c>
      <c r="L173" s="14">
        <f t="shared" si="22"/>
        <v>69</v>
      </c>
      <c r="M173" s="15">
        <f t="shared" si="22"/>
        <v>0</v>
      </c>
      <c r="N173" s="54"/>
    </row>
    <row r="174" spans="2:14" ht="45" thickBot="1"/>
    <row r="175" spans="2:14" ht="45" thickBot="1">
      <c r="E175" s="181" t="s">
        <v>59</v>
      </c>
      <c r="F175" s="449" t="s">
        <v>42</v>
      </c>
      <c r="G175" s="449" t="s">
        <v>43</v>
      </c>
      <c r="H175" s="449"/>
      <c r="I175" s="449" t="s">
        <v>44</v>
      </c>
      <c r="J175" s="449"/>
      <c r="K175" s="449"/>
      <c r="L175" s="449" t="s">
        <v>45</v>
      </c>
      <c r="M175" s="449"/>
      <c r="N175" s="50"/>
    </row>
    <row r="176" spans="2:14" ht="70.5" thickBot="1">
      <c r="B176" s="184" t="s">
        <v>16</v>
      </c>
      <c r="E176" s="183"/>
      <c r="F176" s="449"/>
      <c r="G176" s="8" t="s">
        <v>46</v>
      </c>
      <c r="H176" s="9" t="s">
        <v>61</v>
      </c>
      <c r="I176" s="8" t="s">
        <v>46</v>
      </c>
      <c r="J176" s="17" t="s">
        <v>61</v>
      </c>
      <c r="K176" s="10" t="s">
        <v>63</v>
      </c>
      <c r="L176" s="8" t="s">
        <v>46</v>
      </c>
      <c r="M176" s="9" t="s">
        <v>61</v>
      </c>
      <c r="N176" s="51"/>
    </row>
    <row r="177" spans="2:14" ht="88.5">
      <c r="E177" s="181" t="s">
        <v>70</v>
      </c>
      <c r="F177" s="36" t="s">
        <v>47</v>
      </c>
      <c r="G177" s="23">
        <v>247</v>
      </c>
      <c r="H177" s="24"/>
      <c r="I177" s="23">
        <v>207</v>
      </c>
      <c r="J177" s="57"/>
      <c r="K177" s="30">
        <v>11693</v>
      </c>
      <c r="L177" s="23"/>
      <c r="M177" s="24"/>
      <c r="N177" s="52"/>
    </row>
    <row r="178" spans="2:14">
      <c r="E178" s="182"/>
      <c r="F178" s="37" t="s">
        <v>62</v>
      </c>
      <c r="G178" s="25">
        <v>13</v>
      </c>
      <c r="H178" s="26"/>
      <c r="I178" s="25">
        <v>12</v>
      </c>
      <c r="J178" s="58"/>
      <c r="K178" s="32">
        <v>2308</v>
      </c>
      <c r="L178" s="25">
        <v>6</v>
      </c>
      <c r="M178" s="26"/>
      <c r="N178" s="52"/>
    </row>
    <row r="179" spans="2:14">
      <c r="E179" s="182"/>
      <c r="F179" s="37" t="s">
        <v>48</v>
      </c>
      <c r="G179" s="25">
        <v>30</v>
      </c>
      <c r="H179" s="26"/>
      <c r="I179" s="25"/>
      <c r="J179" s="58"/>
      <c r="K179" s="32"/>
      <c r="L179" s="25">
        <v>17</v>
      </c>
      <c r="M179" s="26"/>
      <c r="N179" s="52"/>
    </row>
    <row r="180" spans="2:14">
      <c r="E180" s="182"/>
      <c r="F180" s="37" t="s">
        <v>49</v>
      </c>
      <c r="G180" s="33"/>
      <c r="H180" s="26"/>
      <c r="I180" s="33"/>
      <c r="J180" s="58"/>
      <c r="K180" s="32"/>
      <c r="L180" s="33"/>
      <c r="M180" s="26"/>
      <c r="N180" s="52"/>
    </row>
    <row r="181" spans="2:14" ht="45" thickBot="1">
      <c r="E181" s="182"/>
      <c r="F181" s="38" t="s">
        <v>50</v>
      </c>
      <c r="G181" s="27"/>
      <c r="H181" s="28"/>
      <c r="I181" s="27"/>
      <c r="J181" s="59"/>
      <c r="K181" s="35"/>
      <c r="L181" s="27"/>
      <c r="M181" s="28"/>
      <c r="N181" s="53"/>
    </row>
    <row r="182" spans="2:14" ht="45" thickBot="1">
      <c r="E182" s="183"/>
      <c r="F182" s="13" t="s">
        <v>41</v>
      </c>
      <c r="G182" s="14">
        <f t="shared" ref="G182:M182" si="23">SUM(G177:G181)</f>
        <v>290</v>
      </c>
      <c r="H182" s="15">
        <f t="shared" si="23"/>
        <v>0</v>
      </c>
      <c r="I182" s="14">
        <f t="shared" si="23"/>
        <v>219</v>
      </c>
      <c r="J182" s="61">
        <f t="shared" si="23"/>
        <v>0</v>
      </c>
      <c r="K182" s="22">
        <f t="shared" si="23"/>
        <v>14001</v>
      </c>
      <c r="L182" s="14">
        <f t="shared" si="23"/>
        <v>23</v>
      </c>
      <c r="M182" s="15">
        <f t="shared" si="23"/>
        <v>0</v>
      </c>
      <c r="N182" s="54"/>
    </row>
    <row r="183" spans="2:14" ht="45" thickBot="1"/>
    <row r="184" spans="2:14" ht="45" thickBot="1">
      <c r="E184" s="181" t="s">
        <v>59</v>
      </c>
      <c r="F184" s="449" t="s">
        <v>42</v>
      </c>
      <c r="G184" s="449" t="s">
        <v>43</v>
      </c>
      <c r="H184" s="449"/>
      <c r="I184" s="449" t="s">
        <v>44</v>
      </c>
      <c r="J184" s="449"/>
      <c r="K184" s="449"/>
      <c r="L184" s="449" t="s">
        <v>45</v>
      </c>
      <c r="M184" s="449"/>
      <c r="N184" s="50"/>
    </row>
    <row r="185" spans="2:14" ht="70.5" thickBot="1">
      <c r="B185" s="184" t="s">
        <v>17</v>
      </c>
      <c r="E185" s="183"/>
      <c r="F185" s="449"/>
      <c r="G185" s="8" t="s">
        <v>46</v>
      </c>
      <c r="H185" s="9" t="s">
        <v>61</v>
      </c>
      <c r="I185" s="8" t="s">
        <v>46</v>
      </c>
      <c r="J185" s="17" t="s">
        <v>61</v>
      </c>
      <c r="K185" s="10" t="s">
        <v>63</v>
      </c>
      <c r="L185" s="8" t="s">
        <v>46</v>
      </c>
      <c r="M185" s="9" t="s">
        <v>61</v>
      </c>
      <c r="N185" s="51"/>
    </row>
    <row r="186" spans="2:14" ht="88.5">
      <c r="E186" s="181" t="s">
        <v>70</v>
      </c>
      <c r="F186" s="36" t="s">
        <v>47</v>
      </c>
      <c r="G186" s="23">
        <v>1233</v>
      </c>
      <c r="H186" s="24"/>
      <c r="I186" s="23">
        <v>1073</v>
      </c>
      <c r="J186" s="29"/>
      <c r="K186" s="40">
        <v>253887</v>
      </c>
      <c r="L186" s="23">
        <v>3</v>
      </c>
      <c r="M186" s="24"/>
      <c r="N186" s="52"/>
    </row>
    <row r="187" spans="2:14">
      <c r="E187" s="182"/>
      <c r="F187" s="37" t="s">
        <v>62</v>
      </c>
      <c r="G187" s="25">
        <v>100</v>
      </c>
      <c r="H187" s="26"/>
      <c r="I187" s="25">
        <v>44</v>
      </c>
      <c r="J187" s="31"/>
      <c r="K187" s="41">
        <v>14750</v>
      </c>
      <c r="L187" s="25"/>
      <c r="M187" s="26"/>
      <c r="N187" s="52"/>
    </row>
    <row r="188" spans="2:14">
      <c r="E188" s="182"/>
      <c r="F188" s="37" t="s">
        <v>48</v>
      </c>
      <c r="G188" s="25">
        <v>48</v>
      </c>
      <c r="H188" s="26"/>
      <c r="I188" s="25"/>
      <c r="J188" s="31"/>
      <c r="K188" s="41"/>
      <c r="L188" s="25"/>
      <c r="M188" s="26"/>
      <c r="N188" s="52"/>
    </row>
    <row r="189" spans="2:14">
      <c r="E189" s="182"/>
      <c r="F189" s="37" t="s">
        <v>49</v>
      </c>
      <c r="G189" s="33">
        <v>7</v>
      </c>
      <c r="H189" s="26"/>
      <c r="I189" s="33"/>
      <c r="J189" s="31"/>
      <c r="K189" s="41"/>
      <c r="L189" s="33"/>
      <c r="M189" s="26"/>
      <c r="N189" s="52"/>
    </row>
    <row r="190" spans="2:14" ht="45" thickBot="1">
      <c r="E190" s="182"/>
      <c r="F190" s="38" t="s">
        <v>50</v>
      </c>
      <c r="G190" s="27"/>
      <c r="H190" s="28"/>
      <c r="I190" s="27"/>
      <c r="J190" s="34"/>
      <c r="K190" s="42"/>
      <c r="L190" s="27"/>
      <c r="M190" s="28"/>
      <c r="N190" s="53"/>
    </row>
    <row r="191" spans="2:14" ht="45" thickBot="1">
      <c r="E191" s="183"/>
      <c r="F191" s="13" t="s">
        <v>41</v>
      </c>
      <c r="G191" s="14">
        <f t="shared" ref="G191:M191" si="24">SUM(G186:G190)</f>
        <v>1388</v>
      </c>
      <c r="H191" s="15">
        <f t="shared" si="24"/>
        <v>0</v>
      </c>
      <c r="I191" s="14">
        <f t="shared" si="24"/>
        <v>1117</v>
      </c>
      <c r="J191" s="18">
        <f t="shared" si="24"/>
        <v>0</v>
      </c>
      <c r="K191" s="22">
        <f t="shared" si="24"/>
        <v>268637</v>
      </c>
      <c r="L191" s="14">
        <f t="shared" si="24"/>
        <v>3</v>
      </c>
      <c r="M191" s="15">
        <f t="shared" si="24"/>
        <v>0</v>
      </c>
      <c r="N191" s="54"/>
    </row>
    <row r="193" spans="2:14" ht="45" thickBot="1"/>
    <row r="194" spans="2:14" ht="45" thickBot="1">
      <c r="E194" s="181" t="s">
        <v>59</v>
      </c>
      <c r="F194" s="449" t="s">
        <v>42</v>
      </c>
      <c r="G194" s="449" t="s">
        <v>43</v>
      </c>
      <c r="H194" s="449"/>
      <c r="I194" s="449" t="s">
        <v>44</v>
      </c>
      <c r="J194" s="449"/>
      <c r="K194" s="449"/>
      <c r="L194" s="449" t="s">
        <v>45</v>
      </c>
      <c r="M194" s="449"/>
      <c r="N194" s="50"/>
    </row>
    <row r="195" spans="2:14" ht="70.5" thickBot="1">
      <c r="B195" s="184" t="s">
        <v>18</v>
      </c>
      <c r="E195" s="183"/>
      <c r="F195" s="449"/>
      <c r="G195" s="8" t="s">
        <v>46</v>
      </c>
      <c r="H195" s="9" t="s">
        <v>61</v>
      </c>
      <c r="I195" s="8" t="s">
        <v>46</v>
      </c>
      <c r="J195" s="17" t="s">
        <v>61</v>
      </c>
      <c r="K195" s="10" t="s">
        <v>63</v>
      </c>
      <c r="L195" s="8" t="s">
        <v>46</v>
      </c>
      <c r="M195" s="9" t="s">
        <v>61</v>
      </c>
      <c r="N195" s="51"/>
    </row>
    <row r="196" spans="2:14" ht="88.5">
      <c r="E196" s="181" t="s">
        <v>70</v>
      </c>
      <c r="F196" s="36" t="s">
        <v>47</v>
      </c>
      <c r="G196" s="23">
        <v>2044</v>
      </c>
      <c r="H196" s="24"/>
      <c r="I196" s="23">
        <v>1995</v>
      </c>
      <c r="J196" s="29"/>
      <c r="K196" s="40">
        <v>141070</v>
      </c>
      <c r="L196" s="23"/>
      <c r="M196" s="24"/>
      <c r="N196" s="52"/>
    </row>
    <row r="197" spans="2:14">
      <c r="E197" s="182"/>
      <c r="F197" s="37" t="s">
        <v>62</v>
      </c>
      <c r="G197" s="25">
        <v>144</v>
      </c>
      <c r="H197" s="26"/>
      <c r="I197" s="25">
        <v>144</v>
      </c>
      <c r="J197" s="31"/>
      <c r="K197" s="41">
        <v>14387</v>
      </c>
      <c r="L197" s="25"/>
      <c r="M197" s="26"/>
      <c r="N197" s="52"/>
    </row>
    <row r="198" spans="2:14">
      <c r="E198" s="182"/>
      <c r="F198" s="37" t="s">
        <v>48</v>
      </c>
      <c r="G198" s="25"/>
      <c r="H198" s="26"/>
      <c r="I198" s="25"/>
      <c r="J198" s="31"/>
      <c r="K198" s="41"/>
      <c r="L198" s="25"/>
      <c r="M198" s="26"/>
      <c r="N198" s="52"/>
    </row>
    <row r="199" spans="2:14">
      <c r="E199" s="182"/>
      <c r="F199" s="37" t="s">
        <v>49</v>
      </c>
      <c r="G199" s="33"/>
      <c r="H199" s="26"/>
      <c r="I199" s="33"/>
      <c r="J199" s="31"/>
      <c r="K199" s="41"/>
      <c r="L199" s="33"/>
      <c r="M199" s="26"/>
      <c r="N199" s="52"/>
    </row>
    <row r="200" spans="2:14" ht="45" thickBot="1">
      <c r="E200" s="182"/>
      <c r="F200" s="38" t="s">
        <v>50</v>
      </c>
      <c r="G200" s="27"/>
      <c r="H200" s="28"/>
      <c r="I200" s="27"/>
      <c r="J200" s="34"/>
      <c r="K200" s="42"/>
      <c r="L200" s="27"/>
      <c r="M200" s="28"/>
      <c r="N200" s="53"/>
    </row>
    <row r="201" spans="2:14" ht="45" thickBot="1">
      <c r="E201" s="183"/>
      <c r="F201" s="13" t="s">
        <v>41</v>
      </c>
      <c r="G201" s="14">
        <f t="shared" ref="G201:M201" si="25">SUM(G196:G200)</f>
        <v>2188</v>
      </c>
      <c r="H201" s="15">
        <f t="shared" si="25"/>
        <v>0</v>
      </c>
      <c r="I201" s="14">
        <f t="shared" si="25"/>
        <v>2139</v>
      </c>
      <c r="J201" s="18">
        <f t="shared" si="25"/>
        <v>0</v>
      </c>
      <c r="K201" s="22">
        <f t="shared" si="25"/>
        <v>155457</v>
      </c>
      <c r="L201" s="14">
        <f t="shared" si="25"/>
        <v>0</v>
      </c>
      <c r="M201" s="15">
        <f t="shared" si="25"/>
        <v>0</v>
      </c>
      <c r="N201" s="54"/>
    </row>
    <row r="203" spans="2:14" ht="45" thickBot="1"/>
    <row r="204" spans="2:14" ht="45" thickBot="1">
      <c r="B204" s="184" t="s">
        <v>19</v>
      </c>
      <c r="E204" s="181" t="s">
        <v>59</v>
      </c>
      <c r="F204" s="449" t="s">
        <v>42</v>
      </c>
      <c r="G204" s="449" t="s">
        <v>43</v>
      </c>
      <c r="H204" s="449"/>
      <c r="I204" s="449" t="s">
        <v>44</v>
      </c>
      <c r="J204" s="449"/>
      <c r="K204" s="449"/>
      <c r="L204" s="449" t="s">
        <v>45</v>
      </c>
      <c r="M204" s="449"/>
    </row>
    <row r="205" spans="2:14" ht="70.5" thickBot="1">
      <c r="E205" s="183"/>
      <c r="F205" s="449"/>
      <c r="G205" s="8" t="s">
        <v>46</v>
      </c>
      <c r="H205" s="9" t="s">
        <v>61</v>
      </c>
      <c r="I205" s="8" t="s">
        <v>46</v>
      </c>
      <c r="J205" s="17" t="s">
        <v>61</v>
      </c>
      <c r="K205" s="10" t="s">
        <v>63</v>
      </c>
      <c r="L205" s="8" t="s">
        <v>46</v>
      </c>
      <c r="M205" s="9" t="s">
        <v>61</v>
      </c>
    </row>
    <row r="206" spans="2:14" ht="89.25" thickBot="1">
      <c r="E206" s="181" t="s">
        <v>70</v>
      </c>
      <c r="F206" s="36" t="s">
        <v>47</v>
      </c>
      <c r="G206" s="194">
        <v>1450</v>
      </c>
      <c r="H206" s="24"/>
      <c r="I206" s="194">
        <v>1380</v>
      </c>
      <c r="J206" s="29"/>
      <c r="K206" s="40">
        <v>113123</v>
      </c>
      <c r="L206" s="194"/>
      <c r="M206" s="24"/>
    </row>
    <row r="207" spans="2:14" ht="45" thickBot="1">
      <c r="E207" s="182"/>
      <c r="F207" s="37" t="s">
        <v>62</v>
      </c>
      <c r="G207" s="25">
        <v>253</v>
      </c>
      <c r="H207" s="26"/>
      <c r="I207" s="25">
        <v>199</v>
      </c>
      <c r="J207" s="31"/>
      <c r="K207" s="40">
        <v>44500</v>
      </c>
      <c r="L207" s="25">
        <v>2</v>
      </c>
      <c r="M207" s="26"/>
    </row>
    <row r="208" spans="2:14" ht="45" thickBot="1">
      <c r="E208" s="182"/>
      <c r="F208" s="37" t="s">
        <v>48</v>
      </c>
      <c r="G208" s="25">
        <v>1</v>
      </c>
      <c r="H208" s="26"/>
      <c r="I208" s="25"/>
      <c r="J208" s="31"/>
      <c r="K208" s="40"/>
      <c r="L208" s="25"/>
      <c r="M208" s="26"/>
    </row>
    <row r="209" spans="2:14">
      <c r="E209" s="182"/>
      <c r="F209" s="37" t="s">
        <v>49</v>
      </c>
      <c r="G209" s="33"/>
      <c r="H209" s="26"/>
      <c r="I209" s="33"/>
      <c r="J209" s="31"/>
      <c r="K209" s="40"/>
      <c r="L209" s="33"/>
      <c r="M209" s="26"/>
    </row>
    <row r="210" spans="2:14" ht="45" thickBot="1">
      <c r="E210" s="182"/>
      <c r="F210" s="38" t="s">
        <v>50</v>
      </c>
      <c r="G210" s="27">
        <v>9</v>
      </c>
      <c r="H210" s="28"/>
      <c r="I210" s="27">
        <v>8</v>
      </c>
      <c r="J210" s="59"/>
      <c r="K210" s="35">
        <v>981.8</v>
      </c>
      <c r="L210" s="27"/>
      <c r="M210" s="28"/>
    </row>
    <row r="211" spans="2:14" ht="45" thickBot="1">
      <c r="E211" s="183"/>
      <c r="F211" s="13" t="s">
        <v>41</v>
      </c>
      <c r="G211" s="14">
        <f t="shared" ref="G211:M211" si="26">SUM(G206:G210)</f>
        <v>1713</v>
      </c>
      <c r="H211" s="15">
        <f t="shared" si="26"/>
        <v>0</v>
      </c>
      <c r="I211" s="14">
        <f t="shared" si="26"/>
        <v>1587</v>
      </c>
      <c r="J211" s="60">
        <f t="shared" si="26"/>
        <v>0</v>
      </c>
      <c r="K211" s="22">
        <f t="shared" si="26"/>
        <v>158604.79999999999</v>
      </c>
      <c r="L211" s="14">
        <f t="shared" si="26"/>
        <v>2</v>
      </c>
      <c r="M211" s="15">
        <f t="shared" si="26"/>
        <v>0</v>
      </c>
    </row>
    <row r="213" spans="2:14" ht="45" thickBot="1"/>
    <row r="214" spans="2:14" ht="45" thickBot="1">
      <c r="E214" s="181" t="s">
        <v>59</v>
      </c>
      <c r="F214" s="449" t="s">
        <v>42</v>
      </c>
      <c r="G214" s="449" t="s">
        <v>43</v>
      </c>
      <c r="H214" s="449"/>
      <c r="I214" s="449" t="s">
        <v>44</v>
      </c>
      <c r="J214" s="449"/>
      <c r="K214" s="449"/>
      <c r="L214" s="449" t="s">
        <v>45</v>
      </c>
      <c r="M214" s="449"/>
      <c r="N214" s="50"/>
    </row>
    <row r="215" spans="2:14" ht="70.5" thickBot="1">
      <c r="B215" s="184" t="s">
        <v>20</v>
      </c>
      <c r="E215" s="183"/>
      <c r="F215" s="449"/>
      <c r="G215" s="8" t="s">
        <v>46</v>
      </c>
      <c r="H215" s="9" t="s">
        <v>61</v>
      </c>
      <c r="I215" s="8" t="s">
        <v>46</v>
      </c>
      <c r="J215" s="17" t="s">
        <v>61</v>
      </c>
      <c r="K215" s="10" t="s">
        <v>63</v>
      </c>
      <c r="L215" s="8" t="s">
        <v>46</v>
      </c>
      <c r="M215" s="9" t="s">
        <v>61</v>
      </c>
      <c r="N215" s="51"/>
    </row>
    <row r="216" spans="2:14" ht="88.5">
      <c r="E216" s="181" t="s">
        <v>70</v>
      </c>
      <c r="F216" s="36" t="s">
        <v>47</v>
      </c>
      <c r="G216" s="23">
        <v>328</v>
      </c>
      <c r="H216" s="24"/>
      <c r="I216" s="23">
        <v>322</v>
      </c>
      <c r="J216" s="29"/>
      <c r="K216" s="40">
        <v>22235</v>
      </c>
      <c r="L216" s="23">
        <v>12</v>
      </c>
      <c r="M216" s="24"/>
      <c r="N216" s="52"/>
    </row>
    <row r="217" spans="2:14">
      <c r="E217" s="182"/>
      <c r="F217" s="37" t="s">
        <v>62</v>
      </c>
      <c r="G217" s="25">
        <v>4</v>
      </c>
      <c r="H217" s="26"/>
      <c r="I217" s="25">
        <v>2</v>
      </c>
      <c r="J217" s="31"/>
      <c r="K217" s="41">
        <v>500</v>
      </c>
      <c r="L217" s="25"/>
      <c r="M217" s="26"/>
      <c r="N217" s="52"/>
    </row>
    <row r="218" spans="2:14">
      <c r="E218" s="182"/>
      <c r="F218" s="37" t="s">
        <v>48</v>
      </c>
      <c r="G218" s="25">
        <v>125</v>
      </c>
      <c r="H218" s="26"/>
      <c r="I218" s="25">
        <v>105</v>
      </c>
      <c r="J218" s="31"/>
      <c r="K218" s="41">
        <v>5270</v>
      </c>
      <c r="L218" s="25">
        <v>8</v>
      </c>
      <c r="M218" s="26"/>
      <c r="N218" s="52"/>
    </row>
    <row r="219" spans="2:14">
      <c r="E219" s="182"/>
      <c r="F219" s="37" t="s">
        <v>49</v>
      </c>
      <c r="G219" s="33"/>
      <c r="H219" s="26"/>
      <c r="I219" s="33"/>
      <c r="J219" s="31"/>
      <c r="K219" s="41"/>
      <c r="L219" s="33"/>
      <c r="M219" s="26">
        <v>8</v>
      </c>
      <c r="N219" s="52"/>
    </row>
    <row r="220" spans="2:14" ht="45" thickBot="1">
      <c r="E220" s="182"/>
      <c r="F220" s="38" t="s">
        <v>50</v>
      </c>
      <c r="G220" s="27">
        <v>2</v>
      </c>
      <c r="H220" s="28"/>
      <c r="I220" s="27">
        <v>1</v>
      </c>
      <c r="J220" s="34"/>
      <c r="K220" s="42">
        <v>100</v>
      </c>
      <c r="L220" s="27"/>
      <c r="M220" s="28"/>
      <c r="N220" s="53"/>
    </row>
    <row r="221" spans="2:14" ht="45" thickBot="1">
      <c r="E221" s="183"/>
      <c r="F221" s="13" t="s">
        <v>41</v>
      </c>
      <c r="G221" s="14">
        <f t="shared" ref="G221:M221" si="27">SUM(G216:G220)</f>
        <v>459</v>
      </c>
      <c r="H221" s="15">
        <f t="shared" si="27"/>
        <v>0</v>
      </c>
      <c r="I221" s="14">
        <f t="shared" si="27"/>
        <v>430</v>
      </c>
      <c r="J221" s="18">
        <f t="shared" si="27"/>
        <v>0</v>
      </c>
      <c r="K221" s="43">
        <f t="shared" si="27"/>
        <v>28105</v>
      </c>
      <c r="L221" s="14">
        <f t="shared" si="27"/>
        <v>20</v>
      </c>
      <c r="M221" s="15">
        <f t="shared" si="27"/>
        <v>8</v>
      </c>
      <c r="N221" s="54"/>
    </row>
    <row r="222" spans="2:14" ht="45" thickBot="1"/>
    <row r="223" spans="2:14" ht="45" thickBot="1">
      <c r="E223" s="181" t="s">
        <v>59</v>
      </c>
      <c r="F223" s="449" t="s">
        <v>42</v>
      </c>
      <c r="G223" s="449" t="s">
        <v>43</v>
      </c>
      <c r="H223" s="449"/>
      <c r="I223" s="449" t="s">
        <v>44</v>
      </c>
      <c r="J223" s="449"/>
      <c r="K223" s="449"/>
      <c r="L223" s="449" t="s">
        <v>45</v>
      </c>
      <c r="M223" s="449"/>
      <c r="N223" s="50"/>
    </row>
    <row r="224" spans="2:14" ht="70.5" thickBot="1">
      <c r="B224" s="184" t="s">
        <v>21</v>
      </c>
      <c r="E224" s="183"/>
      <c r="F224" s="449"/>
      <c r="G224" s="8" t="s">
        <v>46</v>
      </c>
      <c r="H224" s="9" t="s">
        <v>61</v>
      </c>
      <c r="I224" s="8" t="s">
        <v>46</v>
      </c>
      <c r="J224" s="17" t="s">
        <v>61</v>
      </c>
      <c r="K224" s="10" t="s">
        <v>63</v>
      </c>
      <c r="L224" s="8" t="s">
        <v>46</v>
      </c>
      <c r="M224" s="9" t="s">
        <v>61</v>
      </c>
      <c r="N224" s="51"/>
    </row>
    <row r="225" spans="2:14" ht="89.25" thickBot="1">
      <c r="E225" s="181" t="s">
        <v>70</v>
      </c>
      <c r="F225" s="36" t="s">
        <v>47</v>
      </c>
      <c r="G225" s="23">
        <f>1627+73</f>
        <v>1700</v>
      </c>
      <c r="H225" s="194"/>
      <c r="I225" s="194">
        <f>694+57</f>
        <v>751</v>
      </c>
      <c r="J225" s="194"/>
      <c r="K225" s="194">
        <f>31947+2185</f>
        <v>34132</v>
      </c>
      <c r="L225" s="194">
        <v>211</v>
      </c>
      <c r="M225" s="194"/>
      <c r="N225" s="52"/>
    </row>
    <row r="226" spans="2:14" ht="45" thickBot="1">
      <c r="E226" s="182"/>
      <c r="F226" s="37" t="s">
        <v>62</v>
      </c>
      <c r="G226" s="194">
        <v>483</v>
      </c>
      <c r="H226" s="194"/>
      <c r="I226" s="194">
        <v>378</v>
      </c>
      <c r="J226" s="194"/>
      <c r="K226" s="194">
        <v>68345</v>
      </c>
      <c r="L226" s="194">
        <v>91</v>
      </c>
      <c r="M226" s="194"/>
      <c r="N226" s="52"/>
    </row>
    <row r="227" spans="2:14" ht="45" thickBot="1">
      <c r="E227" s="182"/>
      <c r="F227" s="37" t="s">
        <v>48</v>
      </c>
      <c r="G227" s="194"/>
      <c r="H227" s="194"/>
      <c r="I227" s="194"/>
      <c r="J227" s="194"/>
      <c r="K227" s="194"/>
      <c r="L227" s="194">
        <v>5</v>
      </c>
      <c r="M227" s="194"/>
      <c r="N227" s="52"/>
    </row>
    <row r="228" spans="2:14" ht="45" thickBot="1">
      <c r="E228" s="182"/>
      <c r="F228" s="37" t="s">
        <v>49</v>
      </c>
      <c r="G228" s="194"/>
      <c r="H228" s="194"/>
      <c r="I228" s="194"/>
      <c r="J228" s="194"/>
      <c r="K228" s="194"/>
      <c r="L228" s="194"/>
      <c r="M228" s="194"/>
      <c r="N228" s="52"/>
    </row>
    <row r="229" spans="2:14" ht="45" thickBot="1">
      <c r="E229" s="182"/>
      <c r="F229" s="38" t="s">
        <v>50</v>
      </c>
      <c r="G229" s="194"/>
      <c r="H229" s="194"/>
      <c r="I229" s="194"/>
      <c r="J229" s="194"/>
      <c r="K229" s="194"/>
      <c r="L229" s="194"/>
      <c r="M229" s="194"/>
      <c r="N229" s="52"/>
    </row>
    <row r="230" spans="2:14" ht="45" thickBot="1">
      <c r="E230" s="183"/>
      <c r="F230" s="13" t="s">
        <v>41</v>
      </c>
      <c r="G230" s="14">
        <f t="shared" ref="G230:M230" si="28">SUM(G225:G229)</f>
        <v>2183</v>
      </c>
      <c r="H230" s="15">
        <f t="shared" si="28"/>
        <v>0</v>
      </c>
      <c r="I230" s="14">
        <f t="shared" si="28"/>
        <v>1129</v>
      </c>
      <c r="J230" s="18">
        <f t="shared" si="28"/>
        <v>0</v>
      </c>
      <c r="K230" s="22">
        <f t="shared" si="28"/>
        <v>102477</v>
      </c>
      <c r="L230" s="14">
        <f t="shared" si="28"/>
        <v>307</v>
      </c>
      <c r="M230" s="15">
        <f t="shared" si="28"/>
        <v>0</v>
      </c>
      <c r="N230" s="54"/>
    </row>
    <row r="233" spans="2:14" ht="45" thickBot="1"/>
    <row r="234" spans="2:14" ht="45" thickBot="1">
      <c r="E234" s="181" t="s">
        <v>59</v>
      </c>
      <c r="F234" s="449" t="s">
        <v>42</v>
      </c>
      <c r="G234" s="449" t="s">
        <v>43</v>
      </c>
      <c r="H234" s="449"/>
      <c r="I234" s="449" t="s">
        <v>44</v>
      </c>
      <c r="J234" s="449"/>
      <c r="K234" s="449"/>
      <c r="L234" s="449" t="s">
        <v>45</v>
      </c>
      <c r="M234" s="449"/>
      <c r="N234" s="50"/>
    </row>
    <row r="235" spans="2:14" ht="70.5" thickBot="1">
      <c r="B235" s="184" t="s">
        <v>22</v>
      </c>
      <c r="E235" s="183"/>
      <c r="F235" s="449"/>
      <c r="G235" s="8" t="s">
        <v>46</v>
      </c>
      <c r="H235" s="9" t="s">
        <v>61</v>
      </c>
      <c r="I235" s="8" t="s">
        <v>46</v>
      </c>
      <c r="J235" s="17" t="s">
        <v>61</v>
      </c>
      <c r="K235" s="10" t="s">
        <v>63</v>
      </c>
      <c r="L235" s="8" t="s">
        <v>46</v>
      </c>
      <c r="M235" s="9" t="s">
        <v>61</v>
      </c>
      <c r="N235" s="51"/>
    </row>
    <row r="236" spans="2:14" ht="88.5">
      <c r="E236" s="181" t="s">
        <v>70</v>
      </c>
      <c r="F236" s="36" t="s">
        <v>47</v>
      </c>
      <c r="G236" s="23">
        <v>509</v>
      </c>
      <c r="H236" s="24"/>
      <c r="I236" s="23">
        <v>485</v>
      </c>
      <c r="J236" s="29"/>
      <c r="K236" s="41">
        <v>39603</v>
      </c>
      <c r="L236" s="23">
        <v>14</v>
      </c>
      <c r="M236" s="24"/>
      <c r="N236" s="52"/>
    </row>
    <row r="237" spans="2:14">
      <c r="E237" s="182"/>
      <c r="F237" s="37" t="s">
        <v>62</v>
      </c>
      <c r="G237" s="25">
        <v>31</v>
      </c>
      <c r="H237" s="26"/>
      <c r="I237" s="25">
        <v>9</v>
      </c>
      <c r="J237" s="31"/>
      <c r="K237" s="32">
        <v>2250</v>
      </c>
      <c r="L237" s="25">
        <v>5</v>
      </c>
      <c r="M237" s="26"/>
      <c r="N237" s="52"/>
    </row>
    <row r="238" spans="2:14">
      <c r="E238" s="182"/>
      <c r="F238" s="37" t="s">
        <v>48</v>
      </c>
      <c r="G238" s="25">
        <v>50</v>
      </c>
      <c r="H238" s="26"/>
      <c r="I238" s="25">
        <v>1</v>
      </c>
      <c r="J238" s="31"/>
      <c r="K238" s="32">
        <v>1000</v>
      </c>
      <c r="L238" s="25">
        <v>24</v>
      </c>
      <c r="M238" s="26"/>
      <c r="N238" s="52"/>
    </row>
    <row r="239" spans="2:14">
      <c r="E239" s="182"/>
      <c r="F239" s="37" t="s">
        <v>49</v>
      </c>
      <c r="G239" s="33"/>
      <c r="H239" s="26"/>
      <c r="I239" s="33"/>
      <c r="J239" s="31"/>
      <c r="K239" s="32"/>
      <c r="L239" s="33"/>
      <c r="M239" s="26"/>
      <c r="N239" s="52"/>
    </row>
    <row r="240" spans="2:14" ht="45" thickBot="1">
      <c r="E240" s="182"/>
      <c r="F240" s="38" t="s">
        <v>50</v>
      </c>
      <c r="G240" s="27"/>
      <c r="H240" s="28"/>
      <c r="I240" s="27"/>
      <c r="J240" s="34"/>
      <c r="K240" s="35"/>
      <c r="L240" s="27"/>
      <c r="M240" s="28"/>
      <c r="N240" s="53"/>
    </row>
    <row r="241" spans="2:14" ht="45" thickBot="1">
      <c r="E241" s="183"/>
      <c r="F241" s="13" t="s">
        <v>41</v>
      </c>
      <c r="G241" s="14">
        <f t="shared" ref="G241:M241" si="29">SUM(G236:G240)</f>
        <v>590</v>
      </c>
      <c r="H241" s="15">
        <f t="shared" si="29"/>
        <v>0</v>
      </c>
      <c r="I241" s="14">
        <f t="shared" si="29"/>
        <v>495</v>
      </c>
      <c r="J241" s="18">
        <f t="shared" si="29"/>
        <v>0</v>
      </c>
      <c r="K241" s="22">
        <f t="shared" si="29"/>
        <v>42853</v>
      </c>
      <c r="L241" s="14">
        <f t="shared" si="29"/>
        <v>43</v>
      </c>
      <c r="M241" s="15">
        <f t="shared" si="29"/>
        <v>0</v>
      </c>
      <c r="N241" s="54"/>
    </row>
    <row r="242" spans="2:14" ht="45" thickBot="1"/>
    <row r="243" spans="2:14" ht="45" thickBot="1">
      <c r="E243" s="181" t="s">
        <v>59</v>
      </c>
      <c r="F243" s="449" t="s">
        <v>42</v>
      </c>
      <c r="G243" s="449" t="s">
        <v>43</v>
      </c>
      <c r="H243" s="449"/>
      <c r="I243" s="449" t="s">
        <v>44</v>
      </c>
      <c r="J243" s="449"/>
      <c r="K243" s="449"/>
      <c r="L243" s="449" t="s">
        <v>45</v>
      </c>
      <c r="M243" s="449"/>
      <c r="N243" s="50"/>
    </row>
    <row r="244" spans="2:14" ht="70.5" thickBot="1">
      <c r="B244" s="184" t="s">
        <v>23</v>
      </c>
      <c r="E244" s="183"/>
      <c r="F244" s="449"/>
      <c r="G244" s="8" t="s">
        <v>46</v>
      </c>
      <c r="H244" s="9" t="s">
        <v>61</v>
      </c>
      <c r="I244" s="8" t="s">
        <v>46</v>
      </c>
      <c r="J244" s="17" t="s">
        <v>61</v>
      </c>
      <c r="K244" s="10" t="s">
        <v>63</v>
      </c>
      <c r="L244" s="8" t="s">
        <v>46</v>
      </c>
      <c r="M244" s="9" t="s">
        <v>61</v>
      </c>
      <c r="N244" s="51"/>
    </row>
    <row r="245" spans="2:14" ht="89.25" thickBot="1">
      <c r="E245" s="181" t="s">
        <v>70</v>
      </c>
      <c r="F245" s="36" t="s">
        <v>47</v>
      </c>
      <c r="G245" s="194">
        <v>0</v>
      </c>
      <c r="H245" s="194">
        <v>0</v>
      </c>
      <c r="I245" s="194">
        <v>0</v>
      </c>
      <c r="J245" s="194">
        <v>0</v>
      </c>
      <c r="K245" s="194">
        <v>0</v>
      </c>
      <c r="L245" s="194">
        <v>0</v>
      </c>
      <c r="M245" s="194">
        <v>0</v>
      </c>
      <c r="N245" s="52"/>
    </row>
    <row r="246" spans="2:14" ht="45" thickBot="1">
      <c r="E246" s="182"/>
      <c r="F246" s="37" t="s">
        <v>62</v>
      </c>
      <c r="G246" s="194">
        <v>0</v>
      </c>
      <c r="H246" s="194">
        <v>0</v>
      </c>
      <c r="I246" s="194">
        <v>0</v>
      </c>
      <c r="J246" s="194">
        <v>0</v>
      </c>
      <c r="K246" s="194">
        <v>0</v>
      </c>
      <c r="L246" s="194">
        <v>0</v>
      </c>
      <c r="M246" s="194">
        <v>0</v>
      </c>
      <c r="N246" s="52"/>
    </row>
    <row r="247" spans="2:14" ht="45" thickBot="1">
      <c r="E247" s="182"/>
      <c r="F247" s="37" t="s">
        <v>48</v>
      </c>
      <c r="G247" s="194">
        <v>0</v>
      </c>
      <c r="H247" s="194">
        <v>0</v>
      </c>
      <c r="I247" s="194">
        <v>0</v>
      </c>
      <c r="J247" s="194">
        <v>0</v>
      </c>
      <c r="K247" s="194">
        <v>0</v>
      </c>
      <c r="L247" s="194">
        <v>0</v>
      </c>
      <c r="M247" s="194">
        <v>0</v>
      </c>
      <c r="N247" s="52"/>
    </row>
    <row r="248" spans="2:14" ht="45" thickBot="1">
      <c r="E248" s="182"/>
      <c r="F248" s="37" t="s">
        <v>49</v>
      </c>
      <c r="G248" s="194">
        <v>0</v>
      </c>
      <c r="H248" s="194">
        <v>0</v>
      </c>
      <c r="I248" s="194">
        <v>0</v>
      </c>
      <c r="J248" s="194">
        <v>0</v>
      </c>
      <c r="K248" s="194">
        <v>0</v>
      </c>
      <c r="L248" s="194">
        <v>0</v>
      </c>
      <c r="M248" s="194">
        <v>0</v>
      </c>
      <c r="N248" s="52"/>
    </row>
    <row r="249" spans="2:14" ht="45" thickBot="1">
      <c r="E249" s="182"/>
      <c r="F249" s="38" t="s">
        <v>50</v>
      </c>
      <c r="G249" s="194">
        <v>0</v>
      </c>
      <c r="H249" s="194">
        <v>0</v>
      </c>
      <c r="I249" s="194">
        <v>0</v>
      </c>
      <c r="J249" s="194">
        <v>0</v>
      </c>
      <c r="K249" s="194">
        <v>0</v>
      </c>
      <c r="L249" s="194">
        <v>0</v>
      </c>
      <c r="M249" s="194">
        <v>0</v>
      </c>
      <c r="N249" s="53"/>
    </row>
    <row r="250" spans="2:14" ht="45" thickBot="1">
      <c r="E250" s="183"/>
      <c r="F250" s="13" t="s">
        <v>41</v>
      </c>
      <c r="G250" s="14">
        <f t="shared" ref="G250:M250" si="30">SUM(G245:G249)</f>
        <v>0</v>
      </c>
      <c r="H250" s="15">
        <f t="shared" si="30"/>
        <v>0</v>
      </c>
      <c r="I250" s="14">
        <f t="shared" si="30"/>
        <v>0</v>
      </c>
      <c r="J250" s="18">
        <f t="shared" si="30"/>
        <v>0</v>
      </c>
      <c r="K250" s="22">
        <f t="shared" si="30"/>
        <v>0</v>
      </c>
      <c r="L250" s="14">
        <f t="shared" si="30"/>
        <v>0</v>
      </c>
      <c r="M250" s="15">
        <f t="shared" si="30"/>
        <v>0</v>
      </c>
      <c r="N250" s="54"/>
    </row>
    <row r="251" spans="2:14" ht="45" thickBot="1"/>
    <row r="252" spans="2:14" ht="45" thickBot="1">
      <c r="E252" s="181" t="s">
        <v>59</v>
      </c>
      <c r="F252" s="449" t="s">
        <v>42</v>
      </c>
      <c r="G252" s="449" t="s">
        <v>43</v>
      </c>
      <c r="H252" s="449"/>
      <c r="I252" s="449" t="s">
        <v>44</v>
      </c>
      <c r="J252" s="449"/>
      <c r="K252" s="449"/>
      <c r="L252" s="449" t="s">
        <v>45</v>
      </c>
      <c r="M252" s="449"/>
      <c r="N252" s="50"/>
    </row>
    <row r="253" spans="2:14" ht="70.5" thickBot="1">
      <c r="B253" s="184" t="s">
        <v>24</v>
      </c>
      <c r="E253" s="183"/>
      <c r="F253" s="449"/>
      <c r="G253" s="8" t="s">
        <v>46</v>
      </c>
      <c r="H253" s="9" t="s">
        <v>61</v>
      </c>
      <c r="I253" s="8" t="s">
        <v>46</v>
      </c>
      <c r="J253" s="17" t="s">
        <v>61</v>
      </c>
      <c r="K253" s="10" t="s">
        <v>63</v>
      </c>
      <c r="L253" s="8" t="s">
        <v>46</v>
      </c>
      <c r="M253" s="9" t="s">
        <v>61</v>
      </c>
      <c r="N253" s="51"/>
    </row>
    <row r="254" spans="2:14" ht="89.25" thickBot="1">
      <c r="E254" s="181" t="s">
        <v>70</v>
      </c>
      <c r="F254" s="36" t="s">
        <v>47</v>
      </c>
      <c r="G254" s="27">
        <v>287</v>
      </c>
      <c r="H254" s="28"/>
      <c r="I254" s="27">
        <f>101+178</f>
        <v>279</v>
      </c>
      <c r="J254" s="34"/>
      <c r="K254" s="41">
        <f>2780+8370</f>
        <v>11150</v>
      </c>
      <c r="L254" s="23"/>
      <c r="M254" s="24"/>
      <c r="N254" s="52"/>
    </row>
    <row r="255" spans="2:14">
      <c r="E255" s="182"/>
      <c r="F255" s="37" t="s">
        <v>62</v>
      </c>
      <c r="G255" s="25">
        <v>16</v>
      </c>
      <c r="H255" s="26"/>
      <c r="I255" s="25">
        <v>16</v>
      </c>
      <c r="J255" s="31"/>
      <c r="K255" s="41">
        <v>4250</v>
      </c>
      <c r="L255" s="25"/>
      <c r="M255" s="26"/>
      <c r="N255" s="52"/>
    </row>
    <row r="256" spans="2:14">
      <c r="E256" s="182"/>
      <c r="F256" s="37" t="s">
        <v>48</v>
      </c>
      <c r="G256" s="25">
        <v>13</v>
      </c>
      <c r="H256" s="26"/>
      <c r="I256" s="25">
        <v>4</v>
      </c>
      <c r="J256" s="31"/>
      <c r="K256" s="41">
        <v>800</v>
      </c>
      <c r="L256" s="25"/>
      <c r="M256" s="26"/>
      <c r="N256" s="52"/>
    </row>
    <row r="257" spans="2:14">
      <c r="E257" s="182"/>
      <c r="F257" s="37" t="s">
        <v>49</v>
      </c>
      <c r="G257" s="33"/>
      <c r="H257" s="26"/>
      <c r="I257" s="33"/>
      <c r="J257" s="31"/>
      <c r="K257" s="41"/>
      <c r="L257" s="33"/>
      <c r="M257" s="26"/>
      <c r="N257" s="52"/>
    </row>
    <row r="258" spans="2:14" ht="45" thickBot="1">
      <c r="E258" s="182"/>
      <c r="F258" s="38" t="s">
        <v>50</v>
      </c>
      <c r="G258" s="27"/>
      <c r="H258" s="28"/>
      <c r="I258" s="27"/>
      <c r="J258" s="34"/>
      <c r="K258" s="41"/>
      <c r="L258" s="27"/>
      <c r="M258" s="28"/>
      <c r="N258" s="53"/>
    </row>
    <row r="259" spans="2:14" ht="45" thickBot="1">
      <c r="E259" s="183"/>
      <c r="F259" s="13" t="s">
        <v>41</v>
      </c>
      <c r="G259" s="14">
        <f t="shared" ref="G259:M259" si="31">SUM(G254:G258)</f>
        <v>316</v>
      </c>
      <c r="H259" s="15">
        <f t="shared" si="31"/>
        <v>0</v>
      </c>
      <c r="I259" s="14">
        <f t="shared" si="31"/>
        <v>299</v>
      </c>
      <c r="J259" s="18">
        <f t="shared" si="31"/>
        <v>0</v>
      </c>
      <c r="K259" s="22">
        <f t="shared" si="31"/>
        <v>16200</v>
      </c>
      <c r="L259" s="14">
        <f t="shared" si="31"/>
        <v>0</v>
      </c>
      <c r="M259" s="15">
        <f t="shared" si="31"/>
        <v>0</v>
      </c>
      <c r="N259" s="54"/>
    </row>
    <row r="261" spans="2:14" ht="45" thickBot="1"/>
    <row r="262" spans="2:14" ht="45" thickBot="1">
      <c r="E262" s="181" t="s">
        <v>59</v>
      </c>
      <c r="F262" s="449" t="s">
        <v>42</v>
      </c>
      <c r="G262" s="449" t="s">
        <v>43</v>
      </c>
      <c r="H262" s="449"/>
      <c r="I262" s="449" t="s">
        <v>44</v>
      </c>
      <c r="J262" s="449"/>
      <c r="K262" s="449"/>
      <c r="L262" s="449" t="s">
        <v>45</v>
      </c>
      <c r="M262" s="449"/>
    </row>
    <row r="263" spans="2:14" ht="70.5" thickBot="1">
      <c r="B263" s="184" t="s">
        <v>25</v>
      </c>
      <c r="E263" s="183"/>
      <c r="F263" s="449"/>
      <c r="G263" s="8" t="s">
        <v>46</v>
      </c>
      <c r="H263" s="9" t="s">
        <v>61</v>
      </c>
      <c r="I263" s="8" t="s">
        <v>46</v>
      </c>
      <c r="J263" s="17" t="s">
        <v>61</v>
      </c>
      <c r="K263" s="10" t="s">
        <v>63</v>
      </c>
      <c r="L263" s="8" t="s">
        <v>46</v>
      </c>
      <c r="M263" s="9" t="s">
        <v>61</v>
      </c>
    </row>
    <row r="264" spans="2:14" ht="89.25" thickBot="1">
      <c r="E264" s="181" t="s">
        <v>70</v>
      </c>
      <c r="F264" s="36" t="s">
        <v>47</v>
      </c>
      <c r="G264" s="27">
        <v>186</v>
      </c>
      <c r="H264" s="28"/>
      <c r="I264" s="27">
        <v>110</v>
      </c>
      <c r="J264" s="34"/>
      <c r="K264" s="35">
        <v>21867.814999999999</v>
      </c>
      <c r="L264" s="27">
        <v>3</v>
      </c>
      <c r="M264" s="24"/>
    </row>
    <row r="265" spans="2:14">
      <c r="E265" s="182"/>
      <c r="F265" s="37" t="s">
        <v>62</v>
      </c>
      <c r="G265" s="25">
        <v>19</v>
      </c>
      <c r="H265" s="26"/>
      <c r="I265" s="25">
        <v>19</v>
      </c>
      <c r="J265" s="31"/>
      <c r="K265" s="32">
        <v>4750</v>
      </c>
      <c r="L265" s="25"/>
      <c r="M265" s="26"/>
    </row>
    <row r="266" spans="2:14">
      <c r="E266" s="182"/>
      <c r="F266" s="37" t="s">
        <v>48</v>
      </c>
      <c r="G266" s="25">
        <v>12</v>
      </c>
      <c r="H266" s="26"/>
      <c r="I266" s="25">
        <v>1</v>
      </c>
      <c r="J266" s="31"/>
      <c r="K266" s="32">
        <v>100</v>
      </c>
      <c r="L266" s="25">
        <v>3</v>
      </c>
      <c r="M266" s="26"/>
    </row>
    <row r="267" spans="2:14">
      <c r="E267" s="182"/>
      <c r="F267" s="37" t="s">
        <v>49</v>
      </c>
      <c r="G267" s="33"/>
      <c r="H267" s="26"/>
      <c r="I267" s="33"/>
      <c r="J267" s="31"/>
      <c r="K267" s="32"/>
      <c r="L267" s="33"/>
      <c r="M267" s="26"/>
    </row>
    <row r="268" spans="2:14" ht="45" thickBot="1">
      <c r="E268" s="182"/>
      <c r="F268" s="38" t="s">
        <v>50</v>
      </c>
      <c r="G268" s="27">
        <v>1</v>
      </c>
      <c r="H268" s="28"/>
      <c r="I268" s="27"/>
      <c r="J268" s="34"/>
      <c r="K268" s="35"/>
      <c r="L268" s="27">
        <v>1</v>
      </c>
      <c r="M268" s="28"/>
    </row>
    <row r="269" spans="2:14" ht="45" thickBot="1">
      <c r="E269" s="183"/>
      <c r="F269" s="13" t="s">
        <v>41</v>
      </c>
      <c r="G269" s="14">
        <f t="shared" ref="G269:M269" si="32">SUM(G264:G268)</f>
        <v>218</v>
      </c>
      <c r="H269" s="15">
        <f t="shared" si="32"/>
        <v>0</v>
      </c>
      <c r="I269" s="14">
        <f t="shared" si="32"/>
        <v>130</v>
      </c>
      <c r="J269" s="18">
        <f t="shared" si="32"/>
        <v>0</v>
      </c>
      <c r="K269" s="22">
        <f t="shared" si="32"/>
        <v>26717.814999999999</v>
      </c>
      <c r="L269" s="14">
        <f t="shared" si="32"/>
        <v>7</v>
      </c>
      <c r="M269" s="15">
        <f t="shared" si="32"/>
        <v>0</v>
      </c>
    </row>
    <row r="271" spans="2:14" ht="45" thickBot="1"/>
    <row r="272" spans="2:14" ht="45" thickBot="1">
      <c r="E272" s="181" t="s">
        <v>59</v>
      </c>
      <c r="F272" s="449" t="s">
        <v>42</v>
      </c>
      <c r="G272" s="449" t="s">
        <v>43</v>
      </c>
      <c r="H272" s="449"/>
      <c r="I272" s="449" t="s">
        <v>44</v>
      </c>
      <c r="J272" s="449"/>
      <c r="K272" s="449"/>
      <c r="L272" s="449" t="s">
        <v>45</v>
      </c>
      <c r="M272" s="449"/>
      <c r="N272" s="50"/>
    </row>
    <row r="273" spans="2:14" ht="70.5" thickBot="1">
      <c r="B273" s="188" t="s">
        <v>94</v>
      </c>
      <c r="E273" s="183"/>
      <c r="F273" s="449"/>
      <c r="G273" s="8" t="s">
        <v>46</v>
      </c>
      <c r="H273" s="9" t="s">
        <v>61</v>
      </c>
      <c r="I273" s="8" t="s">
        <v>46</v>
      </c>
      <c r="J273" s="17" t="s">
        <v>61</v>
      </c>
      <c r="K273" s="10" t="s">
        <v>63</v>
      </c>
      <c r="L273" s="8" t="s">
        <v>46</v>
      </c>
      <c r="M273" s="9" t="s">
        <v>61</v>
      </c>
      <c r="N273" s="51"/>
    </row>
    <row r="274" spans="2:14" ht="88.5">
      <c r="E274" s="181" t="s">
        <v>70</v>
      </c>
      <c r="F274" s="36" t="s">
        <v>47</v>
      </c>
      <c r="G274" s="23">
        <v>8</v>
      </c>
      <c r="H274" s="24">
        <v>10</v>
      </c>
      <c r="I274" s="23"/>
      <c r="J274" s="29"/>
      <c r="K274" s="41"/>
      <c r="L274" s="23"/>
      <c r="M274" s="24"/>
      <c r="N274" s="52"/>
    </row>
    <row r="275" spans="2:14">
      <c r="E275" s="182"/>
      <c r="F275" s="37" t="s">
        <v>62</v>
      </c>
      <c r="G275" s="25">
        <v>1</v>
      </c>
      <c r="H275" s="26">
        <v>1</v>
      </c>
      <c r="I275" s="25"/>
      <c r="J275" s="31"/>
      <c r="K275" s="41"/>
      <c r="L275" s="25"/>
      <c r="M275" s="26"/>
      <c r="N275" s="52"/>
    </row>
    <row r="276" spans="2:14">
      <c r="E276" s="182"/>
      <c r="F276" s="37" t="s">
        <v>48</v>
      </c>
      <c r="G276" s="25">
        <v>13</v>
      </c>
      <c r="H276" s="26"/>
      <c r="I276" s="25"/>
      <c r="J276" s="31"/>
      <c r="K276" s="41"/>
      <c r="L276" s="25"/>
      <c r="M276" s="26"/>
      <c r="N276" s="52"/>
    </row>
    <row r="277" spans="2:14">
      <c r="E277" s="182"/>
      <c r="F277" s="37" t="s">
        <v>49</v>
      </c>
      <c r="G277" s="33"/>
      <c r="H277" s="26">
        <v>1</v>
      </c>
      <c r="I277" s="33"/>
      <c r="J277" s="31"/>
      <c r="K277" s="41"/>
      <c r="L277" s="33"/>
      <c r="M277" s="26"/>
      <c r="N277" s="52"/>
    </row>
    <row r="278" spans="2:14" ht="45" thickBot="1">
      <c r="E278" s="182"/>
      <c r="F278" s="38" t="s">
        <v>50</v>
      </c>
      <c r="G278" s="27"/>
      <c r="H278" s="28"/>
      <c r="I278" s="27"/>
      <c r="J278" s="34"/>
      <c r="K278" s="41"/>
      <c r="L278" s="27"/>
      <c r="M278" s="28"/>
      <c r="N278" s="53"/>
    </row>
    <row r="279" spans="2:14" ht="45" thickBot="1">
      <c r="E279" s="183"/>
      <c r="F279" s="13" t="s">
        <v>41</v>
      </c>
      <c r="G279" s="14">
        <f t="shared" ref="G279:M279" si="33">SUM(G274:G278)</f>
        <v>22</v>
      </c>
      <c r="H279" s="15">
        <f t="shared" si="33"/>
        <v>12</v>
      </c>
      <c r="I279" s="14">
        <f t="shared" si="33"/>
        <v>0</v>
      </c>
      <c r="J279" s="18">
        <f t="shared" si="33"/>
        <v>0</v>
      </c>
      <c r="K279" s="22">
        <f t="shared" si="33"/>
        <v>0</v>
      </c>
      <c r="L279" s="14">
        <f t="shared" si="33"/>
        <v>0</v>
      </c>
      <c r="M279" s="15">
        <f t="shared" si="33"/>
        <v>0</v>
      </c>
      <c r="N279" s="54"/>
    </row>
    <row r="280" spans="2:14" ht="45" thickBot="1"/>
    <row r="281" spans="2:14" ht="45" thickBot="1">
      <c r="E281" s="181" t="s">
        <v>59</v>
      </c>
      <c r="F281" s="449" t="s">
        <v>42</v>
      </c>
      <c r="G281" s="449" t="s">
        <v>43</v>
      </c>
      <c r="H281" s="449"/>
      <c r="I281" s="449" t="s">
        <v>44</v>
      </c>
      <c r="J281" s="449"/>
      <c r="K281" s="449"/>
      <c r="L281" s="449" t="s">
        <v>45</v>
      </c>
      <c r="M281" s="449"/>
      <c r="N281" s="50"/>
    </row>
    <row r="282" spans="2:14" ht="70.5" thickBot="1">
      <c r="B282" s="184" t="s">
        <v>95</v>
      </c>
      <c r="E282" s="183"/>
      <c r="F282" s="449"/>
      <c r="G282" s="8" t="s">
        <v>46</v>
      </c>
      <c r="H282" s="9" t="s">
        <v>61</v>
      </c>
      <c r="I282" s="8" t="s">
        <v>46</v>
      </c>
      <c r="J282" s="17" t="s">
        <v>61</v>
      </c>
      <c r="K282" s="10" t="s">
        <v>63</v>
      </c>
      <c r="L282" s="8" t="s">
        <v>46</v>
      </c>
      <c r="M282" s="9" t="s">
        <v>61</v>
      </c>
      <c r="N282" s="51"/>
    </row>
    <row r="283" spans="2:14" ht="88.5">
      <c r="E283" s="181" t="s">
        <v>70</v>
      </c>
      <c r="F283" s="36" t="s">
        <v>47</v>
      </c>
      <c r="G283" s="23">
        <v>166</v>
      </c>
      <c r="H283" s="24"/>
      <c r="I283" s="23">
        <v>148</v>
      </c>
      <c r="J283" s="29"/>
      <c r="K283" s="30">
        <v>242854.09</v>
      </c>
      <c r="L283" s="23"/>
      <c r="M283" s="24"/>
      <c r="N283" s="52"/>
    </row>
    <row r="284" spans="2:14">
      <c r="E284" s="182"/>
      <c r="F284" s="37" t="s">
        <v>62</v>
      </c>
      <c r="G284" s="25"/>
      <c r="H284" s="26"/>
      <c r="I284" s="25"/>
      <c r="J284" s="31"/>
      <c r="K284" s="32"/>
      <c r="L284" s="25"/>
      <c r="M284" s="26"/>
      <c r="N284" s="52"/>
    </row>
    <row r="285" spans="2:14">
      <c r="E285" s="182"/>
      <c r="F285" s="37" t="s">
        <v>48</v>
      </c>
      <c r="G285" s="25"/>
      <c r="H285" s="26"/>
      <c r="I285" s="25"/>
      <c r="J285" s="31"/>
      <c r="K285" s="32"/>
      <c r="L285" s="25"/>
      <c r="M285" s="26"/>
      <c r="N285" s="52"/>
    </row>
    <row r="286" spans="2:14">
      <c r="E286" s="182"/>
      <c r="F286" s="37" t="s">
        <v>49</v>
      </c>
      <c r="G286" s="33"/>
      <c r="H286" s="26"/>
      <c r="I286" s="33"/>
      <c r="J286" s="31"/>
      <c r="K286" s="32"/>
      <c r="L286" s="33"/>
      <c r="M286" s="26"/>
      <c r="N286" s="52"/>
    </row>
    <row r="287" spans="2:14" ht="45" thickBot="1">
      <c r="E287" s="182"/>
      <c r="F287" s="38" t="s">
        <v>50</v>
      </c>
      <c r="G287" s="27">
        <v>1</v>
      </c>
      <c r="H287" s="28"/>
      <c r="I287" s="27">
        <v>1</v>
      </c>
      <c r="J287" s="34"/>
      <c r="K287" s="35">
        <v>3541.46</v>
      </c>
      <c r="L287" s="27"/>
      <c r="M287" s="28"/>
      <c r="N287" s="53"/>
    </row>
    <row r="288" spans="2:14" ht="45" thickBot="1">
      <c r="E288" s="183"/>
      <c r="F288" s="13" t="s">
        <v>41</v>
      </c>
      <c r="G288" s="14">
        <f t="shared" ref="G288:M288" si="34">SUM(G283:G287)</f>
        <v>167</v>
      </c>
      <c r="H288" s="15">
        <f t="shared" si="34"/>
        <v>0</v>
      </c>
      <c r="I288" s="14">
        <f t="shared" si="34"/>
        <v>149</v>
      </c>
      <c r="J288" s="18">
        <f t="shared" si="34"/>
        <v>0</v>
      </c>
      <c r="K288" s="22">
        <f t="shared" si="34"/>
        <v>246395.55</v>
      </c>
      <c r="L288" s="14">
        <f t="shared" si="34"/>
        <v>0</v>
      </c>
      <c r="M288" s="15">
        <f t="shared" si="34"/>
        <v>0</v>
      </c>
      <c r="N288" s="54"/>
    </row>
    <row r="290" spans="2:14">
      <c r="N290" s="50"/>
    </row>
    <row r="291" spans="2:14">
      <c r="N291" s="51"/>
    </row>
    <row r="292" spans="2:14">
      <c r="B292" s="184" t="s">
        <v>19</v>
      </c>
      <c r="N292" s="52"/>
    </row>
    <row r="293" spans="2:14">
      <c r="N293" s="52"/>
    </row>
    <row r="294" spans="2:14">
      <c r="N294" s="52"/>
    </row>
    <row r="295" spans="2:14">
      <c r="N295" s="52"/>
    </row>
    <row r="296" spans="2:14">
      <c r="N296" s="53"/>
    </row>
    <row r="297" spans="2:14">
      <c r="N297" s="54"/>
    </row>
    <row r="299" spans="2:14">
      <c r="N299" s="50"/>
    </row>
    <row r="300" spans="2:14">
      <c r="N300" s="51"/>
    </row>
    <row r="301" spans="2:14">
      <c r="N301" s="52"/>
    </row>
    <row r="302" spans="2:14">
      <c r="N302" s="52"/>
    </row>
    <row r="303" spans="2:14">
      <c r="N303" s="52"/>
    </row>
    <row r="304" spans="2:14">
      <c r="N304" s="52"/>
    </row>
    <row r="305" spans="14:14">
      <c r="N305" s="53"/>
    </row>
    <row r="306" spans="14:14">
      <c r="N306" s="54"/>
    </row>
  </sheetData>
  <mergeCells count="126">
    <mergeCell ref="F19:F20"/>
    <mergeCell ref="G19:H19"/>
    <mergeCell ref="I19:K19"/>
    <mergeCell ref="L19:M19"/>
    <mergeCell ref="L1:M1"/>
    <mergeCell ref="E2:M2"/>
    <mergeCell ref="E4:E5"/>
    <mergeCell ref="F4:F5"/>
    <mergeCell ref="G4:H4"/>
    <mergeCell ref="I4:K4"/>
    <mergeCell ref="L4:M4"/>
    <mergeCell ref="E6:E10"/>
    <mergeCell ref="E12:E16"/>
    <mergeCell ref="F46:F47"/>
    <mergeCell ref="G46:H46"/>
    <mergeCell ref="I46:K46"/>
    <mergeCell ref="L46:M46"/>
    <mergeCell ref="F55:F56"/>
    <mergeCell ref="G55:H55"/>
    <mergeCell ref="I55:K55"/>
    <mergeCell ref="L55:M55"/>
    <mergeCell ref="E21:E26"/>
    <mergeCell ref="F28:F29"/>
    <mergeCell ref="G28:H28"/>
    <mergeCell ref="I28:K28"/>
    <mergeCell ref="L28:M28"/>
    <mergeCell ref="F37:F38"/>
    <mergeCell ref="G37:H37"/>
    <mergeCell ref="I37:K37"/>
    <mergeCell ref="L37:M37"/>
    <mergeCell ref="F82:F83"/>
    <mergeCell ref="G82:H82"/>
    <mergeCell ref="I82:K82"/>
    <mergeCell ref="L82:M82"/>
    <mergeCell ref="F92:F93"/>
    <mergeCell ref="G92:H92"/>
    <mergeCell ref="I92:K92"/>
    <mergeCell ref="L92:M92"/>
    <mergeCell ref="F64:F65"/>
    <mergeCell ref="G64:H64"/>
    <mergeCell ref="I64:K64"/>
    <mergeCell ref="L64:M64"/>
    <mergeCell ref="F73:F74"/>
    <mergeCell ref="G73:H73"/>
    <mergeCell ref="I73:K73"/>
    <mergeCell ref="L73:M73"/>
    <mergeCell ref="F121:F122"/>
    <mergeCell ref="G121:H121"/>
    <mergeCell ref="I121:K121"/>
    <mergeCell ref="L121:M121"/>
    <mergeCell ref="F130:F131"/>
    <mergeCell ref="G130:H130"/>
    <mergeCell ref="I130:K130"/>
    <mergeCell ref="L130:M130"/>
    <mergeCell ref="F103:F104"/>
    <mergeCell ref="G103:H103"/>
    <mergeCell ref="I103:K103"/>
    <mergeCell ref="L103:M103"/>
    <mergeCell ref="F112:F113"/>
    <mergeCell ref="G112:H112"/>
    <mergeCell ref="I112:K112"/>
    <mergeCell ref="L112:M112"/>
    <mergeCell ref="F157:F158"/>
    <mergeCell ref="G157:H157"/>
    <mergeCell ref="I157:K157"/>
    <mergeCell ref="L157:M157"/>
    <mergeCell ref="F166:F167"/>
    <mergeCell ref="G166:H166"/>
    <mergeCell ref="I166:K166"/>
    <mergeCell ref="L166:M166"/>
    <mergeCell ref="F139:F140"/>
    <mergeCell ref="G139:H139"/>
    <mergeCell ref="I139:K139"/>
    <mergeCell ref="L139:M139"/>
    <mergeCell ref="F148:F149"/>
    <mergeCell ref="G148:H148"/>
    <mergeCell ref="I148:K148"/>
    <mergeCell ref="L148:M148"/>
    <mergeCell ref="F194:F195"/>
    <mergeCell ref="G194:H194"/>
    <mergeCell ref="I194:K194"/>
    <mergeCell ref="L194:M194"/>
    <mergeCell ref="F204:F205"/>
    <mergeCell ref="G204:H204"/>
    <mergeCell ref="I204:K204"/>
    <mergeCell ref="L204:M204"/>
    <mergeCell ref="F175:F176"/>
    <mergeCell ref="G175:H175"/>
    <mergeCell ref="I175:K175"/>
    <mergeCell ref="L175:M175"/>
    <mergeCell ref="F184:F185"/>
    <mergeCell ref="G184:H184"/>
    <mergeCell ref="I184:K184"/>
    <mergeCell ref="L184:M184"/>
    <mergeCell ref="F234:F235"/>
    <mergeCell ref="G234:H234"/>
    <mergeCell ref="I234:K234"/>
    <mergeCell ref="L234:M234"/>
    <mergeCell ref="F243:F244"/>
    <mergeCell ref="G243:H243"/>
    <mergeCell ref="I243:K243"/>
    <mergeCell ref="L243:M243"/>
    <mergeCell ref="F214:F215"/>
    <mergeCell ref="G214:H214"/>
    <mergeCell ref="I214:K214"/>
    <mergeCell ref="L214:M214"/>
    <mergeCell ref="F223:F224"/>
    <mergeCell ref="G223:H223"/>
    <mergeCell ref="I223:K223"/>
    <mergeCell ref="L223:M223"/>
    <mergeCell ref="F272:F273"/>
    <mergeCell ref="G272:H272"/>
    <mergeCell ref="I272:K272"/>
    <mergeCell ref="L272:M272"/>
    <mergeCell ref="F281:F282"/>
    <mergeCell ref="G281:H281"/>
    <mergeCell ref="I281:K281"/>
    <mergeCell ref="L281:M281"/>
    <mergeCell ref="F252:F253"/>
    <mergeCell ref="G252:H252"/>
    <mergeCell ref="I252:K252"/>
    <mergeCell ref="L252:M252"/>
    <mergeCell ref="F262:F263"/>
    <mergeCell ref="G262:H262"/>
    <mergeCell ref="I262:K262"/>
    <mergeCell ref="L262:M262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J12"/>
  <sheetViews>
    <sheetView rightToLeft="1" tabSelected="1" workbookViewId="0">
      <selection activeCell="F12" sqref="F12"/>
    </sheetView>
  </sheetViews>
  <sheetFormatPr baseColWidth="10" defaultRowHeight="12.75"/>
  <cols>
    <col min="2" max="2" width="57" customWidth="1"/>
    <col min="3" max="3" width="36.7109375" customWidth="1"/>
    <col min="5" max="5" width="15.7109375" customWidth="1"/>
  </cols>
  <sheetData>
    <row r="1" spans="2:10" ht="4.5" customHeight="1"/>
    <row r="2" spans="2:10" ht="51" customHeight="1">
      <c r="C2" s="384"/>
      <c r="D2" s="461" t="s">
        <v>134</v>
      </c>
      <c r="E2" s="461"/>
    </row>
    <row r="3" spans="2:10" ht="59.25" customHeight="1">
      <c r="B3" s="460" t="s">
        <v>135</v>
      </c>
      <c r="C3" s="460"/>
      <c r="D3" s="381"/>
      <c r="E3" s="381"/>
      <c r="F3" s="380"/>
      <c r="G3" s="380"/>
      <c r="H3" s="380"/>
      <c r="I3" s="380"/>
      <c r="J3" s="380"/>
    </row>
    <row r="4" spans="2:10" ht="13.5" thickBot="1"/>
    <row r="5" spans="2:10" ht="47.25" customHeight="1" thickBot="1">
      <c r="B5" s="383" t="s">
        <v>59</v>
      </c>
      <c r="C5" s="383" t="s">
        <v>113</v>
      </c>
    </row>
    <row r="6" spans="2:10" ht="28.5" customHeight="1" thickBot="1">
      <c r="B6" s="385" t="s">
        <v>133</v>
      </c>
      <c r="C6" s="386">
        <v>4</v>
      </c>
    </row>
    <row r="7" spans="2:10" ht="31.5" customHeight="1" thickBot="1">
      <c r="B7" s="385" t="s">
        <v>132</v>
      </c>
      <c r="C7" s="386">
        <v>89</v>
      </c>
    </row>
    <row r="8" spans="2:10" ht="30" customHeight="1" thickBot="1">
      <c r="B8" s="385" t="s">
        <v>131</v>
      </c>
      <c r="C8" s="386">
        <v>22</v>
      </c>
    </row>
    <row r="9" spans="2:10" ht="28.5" customHeight="1" thickBot="1">
      <c r="B9" s="385" t="s">
        <v>130</v>
      </c>
      <c r="C9" s="387"/>
    </row>
    <row r="10" spans="2:10" ht="28.5" customHeight="1" thickBot="1">
      <c r="B10" s="396" t="s">
        <v>129</v>
      </c>
      <c r="C10" s="386">
        <v>28</v>
      </c>
    </row>
    <row r="11" spans="2:10" ht="28.5" customHeight="1" thickBot="1">
      <c r="B11" s="397" t="s">
        <v>128</v>
      </c>
      <c r="C11" s="386">
        <v>49</v>
      </c>
    </row>
    <row r="12" spans="2:10" ht="29.25" customHeight="1" thickBot="1">
      <c r="B12" s="397" t="s">
        <v>127</v>
      </c>
      <c r="C12" s="386">
        <f>C7-C10-C11</f>
        <v>12</v>
      </c>
    </row>
  </sheetData>
  <mergeCells count="2">
    <mergeCell ref="B3:C3"/>
    <mergeCell ref="D2:E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BJ657"/>
  <sheetViews>
    <sheetView rightToLeft="1" view="pageBreakPreview" zoomScale="80" zoomScaleSheetLayoutView="80" workbookViewId="0">
      <selection activeCell="B2" sqref="B2:O2"/>
    </sheetView>
  </sheetViews>
  <sheetFormatPr baseColWidth="10" defaultColWidth="11.42578125" defaultRowHeight="56.25"/>
  <cols>
    <col min="1" max="1" width="11.42578125" style="62"/>
    <col min="2" max="2" width="19" style="62" customWidth="1"/>
    <col min="3" max="3" width="11.28515625" style="62" customWidth="1"/>
    <col min="4" max="4" width="9.42578125" style="62" customWidth="1"/>
    <col min="5" max="5" width="11.7109375" style="62" customWidth="1"/>
    <col min="6" max="6" width="23.42578125" style="62" customWidth="1"/>
    <col min="7" max="7" width="20.42578125" style="62" customWidth="1"/>
    <col min="8" max="8" width="11.42578125" style="62" customWidth="1"/>
    <col min="9" max="9" width="9.140625" style="62" customWidth="1"/>
    <col min="10" max="10" width="8.85546875" style="75" customWidth="1"/>
    <col min="11" max="11" width="11.42578125" style="62" customWidth="1"/>
    <col min="12" max="12" width="23.7109375" style="62" customWidth="1"/>
    <col min="13" max="13" width="20.5703125" style="62" customWidth="1"/>
    <col min="14" max="14" width="11.42578125" style="62" customWidth="1"/>
    <col min="15" max="15" width="21.140625" style="75" customWidth="1"/>
    <col min="16" max="16" width="12" style="62" bestFit="1" customWidth="1"/>
    <col min="17" max="17" width="38.28515625" style="62" bestFit="1" customWidth="1"/>
    <col min="18" max="18" width="26.85546875" style="62" bestFit="1" customWidth="1"/>
    <col min="19" max="19" width="32.5703125" style="62" customWidth="1"/>
    <col min="20" max="20" width="52.28515625" style="80" customWidth="1"/>
    <col min="21" max="21" width="44.7109375" style="80" customWidth="1"/>
    <col min="22" max="22" width="55.140625" style="62" customWidth="1"/>
    <col min="23" max="23" width="42" style="62" customWidth="1"/>
    <col min="24" max="24" width="40.85546875" style="62" customWidth="1"/>
    <col min="25" max="25" width="41.7109375" style="62" customWidth="1"/>
    <col min="26" max="26" width="41.140625" style="62" customWidth="1"/>
    <col min="27" max="16384" width="11.42578125" style="62"/>
  </cols>
  <sheetData>
    <row r="1" spans="2:21" ht="27" customHeight="1">
      <c r="B1" s="162"/>
      <c r="C1" s="162"/>
      <c r="D1" s="162"/>
      <c r="E1" s="162"/>
      <c r="F1" s="162"/>
      <c r="G1" s="162"/>
      <c r="H1" s="162"/>
      <c r="I1" s="162"/>
      <c r="J1" s="163"/>
      <c r="K1" s="162"/>
      <c r="L1" s="162"/>
      <c r="M1" s="411" t="s">
        <v>51</v>
      </c>
      <c r="N1" s="411"/>
      <c r="O1" s="164"/>
    </row>
    <row r="2" spans="2:21" ht="29.25" customHeight="1">
      <c r="B2" s="414" t="s">
        <v>79</v>
      </c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</row>
    <row r="3" spans="2:21" ht="27.75" customHeight="1">
      <c r="B3" s="415" t="s">
        <v>52</v>
      </c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</row>
    <row r="4" spans="2:21" ht="24" customHeight="1" thickBot="1">
      <c r="B4" s="165"/>
      <c r="C4" s="165"/>
      <c r="D4" s="166"/>
      <c r="E4" s="166"/>
      <c r="F4" s="166"/>
      <c r="G4" s="167"/>
      <c r="H4" s="167"/>
      <c r="I4" s="167"/>
      <c r="J4" s="166"/>
      <c r="K4" s="166"/>
      <c r="L4" s="166"/>
      <c r="M4" s="417" t="s">
        <v>77</v>
      </c>
      <c r="N4" s="417"/>
      <c r="O4" s="168"/>
    </row>
    <row r="5" spans="2:21" s="77" customFormat="1" ht="28.5" customHeight="1" thickBot="1">
      <c r="B5" s="216" t="s">
        <v>59</v>
      </c>
      <c r="C5" s="418" t="s">
        <v>74</v>
      </c>
      <c r="D5" s="418"/>
      <c r="E5" s="418"/>
      <c r="F5" s="418"/>
      <c r="G5" s="418"/>
      <c r="H5" s="418"/>
      <c r="I5" s="419" t="s">
        <v>114</v>
      </c>
      <c r="J5" s="420"/>
      <c r="K5" s="420"/>
      <c r="L5" s="420"/>
      <c r="M5" s="420"/>
      <c r="N5" s="421"/>
      <c r="S5" s="80"/>
      <c r="T5" s="80"/>
    </row>
    <row r="6" spans="2:21" s="77" customFormat="1" ht="72.75" customHeight="1" thickBot="1">
      <c r="B6" s="217" t="s">
        <v>83</v>
      </c>
      <c r="C6" s="218" t="s">
        <v>107</v>
      </c>
      <c r="D6" s="219" t="s">
        <v>108</v>
      </c>
      <c r="E6" s="219" t="s">
        <v>110</v>
      </c>
      <c r="F6" s="220" t="s">
        <v>84</v>
      </c>
      <c r="G6" s="219" t="s">
        <v>33</v>
      </c>
      <c r="H6" s="218" t="s">
        <v>37</v>
      </c>
      <c r="I6" s="218" t="s">
        <v>107</v>
      </c>
      <c r="J6" s="219" t="s">
        <v>108</v>
      </c>
      <c r="K6" s="219" t="s">
        <v>111</v>
      </c>
      <c r="L6" s="220" t="s">
        <v>84</v>
      </c>
      <c r="M6" s="219" t="s">
        <v>33</v>
      </c>
      <c r="N6" s="218" t="s">
        <v>37</v>
      </c>
      <c r="S6" s="80"/>
      <c r="T6" s="80"/>
    </row>
    <row r="7" spans="2:21" ht="28.5" customHeight="1">
      <c r="B7" s="352" t="s">
        <v>66</v>
      </c>
      <c r="C7" s="353">
        <v>92</v>
      </c>
      <c r="D7" s="354">
        <f>'قرارات التوظيف الإجباري'!C7+'ت,إ المحكوم بإقرارها'!B7+'تعديل قرارات تويف'!B6+'إلغاء قرارات تويف'!C7</f>
        <v>21</v>
      </c>
      <c r="E7" s="355">
        <f>D7/C7</f>
        <v>0.22826086956521738</v>
      </c>
      <c r="F7" s="356">
        <f>'قرارات التوظيف الإجباري'!E7+'ت,إ المحكوم بإقرارها'!D7+'تعديل قرارات تويف'!D6+'إلغاء قرارات تويف'!E7</f>
        <v>53610084</v>
      </c>
      <c r="G7" s="356">
        <f>'قرارات التوظيف الإجباري'!F7+'ت,إ المحكوم بإقرارها'!D7+'تعديل قرارات تويف'!E6</f>
        <v>44039973</v>
      </c>
      <c r="H7" s="357">
        <f>G7/F7</f>
        <v>0.82148673745782608</v>
      </c>
      <c r="I7" s="354">
        <v>187</v>
      </c>
      <c r="J7" s="354">
        <f>'قرارات التوظيف الإجباري'!H7+'ت,إ المحكوم بإقرارها'!E7+'تعديل قرارات تويف'!G6+'إلغاء قرارات تويف'!F7</f>
        <v>61</v>
      </c>
      <c r="K7" s="357">
        <f>J7/I7</f>
        <v>0.32620320855614976</v>
      </c>
      <c r="L7" s="356">
        <f>'قرارات التوظيف الإجباري'!J7+'ت,إ المحكوم بإقرارها'!G7+'تعديل قرارات تويف'!I6+'إلغاء قرارات تويف'!H7</f>
        <v>74558523</v>
      </c>
      <c r="M7" s="356">
        <f>'قرارات التوظيف الإجباري'!K7+'ت,إ المحكوم بإقرارها'!G7+'تعديل قرارات تويف'!J6</f>
        <v>62460849</v>
      </c>
      <c r="N7" s="357">
        <f t="shared" ref="N7:N10" si="0">M7/L7</f>
        <v>0.83774257438012822</v>
      </c>
      <c r="O7" s="62"/>
      <c r="S7" s="80"/>
      <c r="U7" s="62"/>
    </row>
    <row r="8" spans="2:21" ht="28.5" customHeight="1">
      <c r="B8" s="358" t="s">
        <v>65</v>
      </c>
      <c r="C8" s="359">
        <v>1</v>
      </c>
      <c r="D8" s="360"/>
      <c r="E8" s="361">
        <f>D8/C8</f>
        <v>0</v>
      </c>
      <c r="F8" s="362">
        <f>'قرارات التوظيف الإجباري'!E8+'ت,إ المحكوم بإقرارها'!D8+'تعديل قرارات تويف'!D7+'إلغاء قرارات تويف'!E8</f>
        <v>0</v>
      </c>
      <c r="G8" s="362">
        <f>'قرارات التوظيف الإجباري'!F8+'ت,إ المحكوم بإقرارها'!D8+'تعديل قرارات تويف'!E7</f>
        <v>0</v>
      </c>
      <c r="H8" s="363"/>
      <c r="I8" s="360">
        <v>16</v>
      </c>
      <c r="J8" s="360">
        <f>'قرارات التوظيف الإجباري'!H8+'ت,إ المحكوم بإقرارها'!E8+'تعديل قرارات تويف'!G7+'إلغاء قرارات تويف'!F8</f>
        <v>2</v>
      </c>
      <c r="K8" s="363">
        <f>J8/I8</f>
        <v>0.125</v>
      </c>
      <c r="L8" s="362">
        <f>'قرارات التوظيف الإجباري'!J8+'ت,إ المحكوم بإقرارها'!G8+'تعديل قرارات تويف'!I7+'إلغاء قرارات تويف'!H8</f>
        <v>568828</v>
      </c>
      <c r="M8" s="362">
        <f>'قرارات التوظيف الإجباري'!K8+'ت,إ المحكوم بإقرارها'!G8+'تعديل قرارات تويف'!J7</f>
        <v>296646</v>
      </c>
      <c r="N8" s="363">
        <f t="shared" si="0"/>
        <v>0.52150386408545291</v>
      </c>
      <c r="O8" s="62"/>
      <c r="S8" s="80"/>
      <c r="U8" s="62"/>
    </row>
    <row r="9" spans="2:21" ht="28.5" customHeight="1">
      <c r="B9" s="358" t="s">
        <v>2</v>
      </c>
      <c r="C9" s="359">
        <v>144</v>
      </c>
      <c r="D9" s="360">
        <f>'قرارات التوظيف الإجباري'!C9+'ت,إ المحكوم بإقرارها'!B9+'تعديل قرارات تويف'!B8+'إلغاء قرارات تويف'!C9</f>
        <v>43</v>
      </c>
      <c r="E9" s="361">
        <f t="shared" ref="E9:E34" si="1">D9/C9</f>
        <v>0.2986111111111111</v>
      </c>
      <c r="F9" s="362">
        <f>'قرارات التوظيف الإجباري'!E9+'ت,إ المحكوم بإقرارها'!D9+'تعديل قرارات تويف'!D8+'إلغاء قرارات تويف'!E9</f>
        <v>4390000</v>
      </c>
      <c r="G9" s="362">
        <f>'قرارات التوظيف الإجباري'!F9+'ت,إ المحكوم بإقرارها'!D9+'تعديل قرارات تويف'!E8</f>
        <v>1737073</v>
      </c>
      <c r="H9" s="363">
        <f t="shared" ref="H9:H30" si="2">G9/F9</f>
        <v>0.3956886104783599</v>
      </c>
      <c r="I9" s="360">
        <v>415</v>
      </c>
      <c r="J9" s="360">
        <f>'قرارات التوظيف الإجباري'!H9+'ت,إ المحكوم بإقرارها'!E9+'تعديل قرارات تويف'!G8+'إلغاء قرارات تويف'!F9</f>
        <v>113</v>
      </c>
      <c r="K9" s="363">
        <f t="shared" ref="K9:K35" si="3">J9/I9</f>
        <v>0.27228915662650605</v>
      </c>
      <c r="L9" s="362">
        <f>'قرارات التوظيف الإجباري'!J9+'ت,إ المحكوم بإقرارها'!G9+'تعديل قرارات تويف'!I8+'إلغاء قرارات تويف'!H9</f>
        <v>6100405</v>
      </c>
      <c r="M9" s="362">
        <f>'قرارات التوظيف الإجباري'!K9+'ت,إ المحكوم بإقرارها'!G9+'تعديل قرارات تويف'!J8</f>
        <v>3363153</v>
      </c>
      <c r="N9" s="363">
        <f t="shared" si="0"/>
        <v>0.55129995467514037</v>
      </c>
      <c r="O9" s="62"/>
      <c r="S9" s="80"/>
      <c r="U9" s="62"/>
    </row>
    <row r="10" spans="2:21" ht="28.5" customHeight="1">
      <c r="B10" s="358" t="s">
        <v>3</v>
      </c>
      <c r="C10" s="359">
        <v>66</v>
      </c>
      <c r="D10" s="360">
        <f>'قرارات التوظيف الإجباري'!C10+'ت,إ المحكوم بإقرارها'!B10+'تعديل قرارات تويف'!B9+'إلغاء قرارات تويف'!C10</f>
        <v>33</v>
      </c>
      <c r="E10" s="361">
        <f t="shared" si="1"/>
        <v>0.5</v>
      </c>
      <c r="F10" s="362">
        <f>'قرارات التوظيف الإجباري'!E10+'ت,إ المحكوم بإقرارها'!D10+'تعديل قرارات تويف'!D9+'إلغاء قرارات تويف'!E10</f>
        <v>5186000</v>
      </c>
      <c r="G10" s="362">
        <f>'قرارات التوظيف الإجباري'!F10+'ت,إ المحكوم بإقرارها'!D10+'تعديل قرارات تويف'!E9</f>
        <v>1946000</v>
      </c>
      <c r="H10" s="363">
        <f t="shared" si="2"/>
        <v>0.37524103355187044</v>
      </c>
      <c r="I10" s="360">
        <v>187</v>
      </c>
      <c r="J10" s="360">
        <f>'قرارات التوظيف الإجباري'!H10+'ت,إ المحكوم بإقرارها'!E10+'تعديل قرارات تويف'!G9+'إلغاء قرارات تويف'!F10</f>
        <v>52</v>
      </c>
      <c r="K10" s="363">
        <f t="shared" si="3"/>
        <v>0.27807486631016043</v>
      </c>
      <c r="L10" s="362">
        <f>'قرارات التوظيف الإجباري'!J10+'ت,إ المحكوم بإقرارها'!G10+'تعديل قرارات تويف'!I9+'إلغاء قرارات تويف'!H10</f>
        <v>36917337</v>
      </c>
      <c r="M10" s="362">
        <f>'قرارات التوظيف الإجباري'!K10+'ت,إ المحكوم بإقرارها'!G10+'تعديل قرارات تويف'!J9</f>
        <v>33936045</v>
      </c>
      <c r="N10" s="363">
        <f t="shared" si="0"/>
        <v>0.91924412099388431</v>
      </c>
      <c r="O10" s="62"/>
      <c r="S10" s="80"/>
      <c r="U10" s="62"/>
    </row>
    <row r="11" spans="2:21" ht="28.5" customHeight="1">
      <c r="B11" s="358" t="s">
        <v>68</v>
      </c>
      <c r="C11" s="359">
        <v>63</v>
      </c>
      <c r="D11" s="360">
        <f>'قرارات التوظيف الإجباري'!C11+'ت,إ المحكوم بإقرارها'!B11+'تعديل قرارات تويف'!B10+'إلغاء قرارات تويف'!C11</f>
        <v>26</v>
      </c>
      <c r="E11" s="361">
        <f t="shared" si="1"/>
        <v>0.41269841269841268</v>
      </c>
      <c r="F11" s="362">
        <f>'قرارات التوظيف الإجباري'!E11+'ت,إ المحكوم بإقرارها'!D11+'تعديل قرارات تويف'!D10+'إلغاء قرارات تويف'!E11</f>
        <v>98683048</v>
      </c>
      <c r="G11" s="362">
        <f>'قرارات التوظيف الإجباري'!F11+'ت,إ المحكوم بإقرارها'!D11+'تعديل قرارات تويف'!E10</f>
        <v>97788615</v>
      </c>
      <c r="H11" s="363">
        <f t="shared" si="2"/>
        <v>0.99093630549392842</v>
      </c>
      <c r="I11" s="360">
        <v>104</v>
      </c>
      <c r="J11" s="360">
        <f>'قرارات التوظيف الإجباري'!H11+'ت,إ المحكوم بإقرارها'!E11+'تعديل قرارات تويف'!G10+'إلغاء قرارات تويف'!F11</f>
        <v>34</v>
      </c>
      <c r="K11" s="363">
        <f t="shared" si="3"/>
        <v>0.32692307692307693</v>
      </c>
      <c r="L11" s="362">
        <f>'قرارات التوظيف الإجباري'!J11+'ت,إ المحكوم بإقرارها'!G11+'تعديل قرارات تويف'!I10+'إلغاء قرارات تويف'!H11</f>
        <v>6348513</v>
      </c>
      <c r="M11" s="362">
        <f>'قرارات التوظيف الإجباري'!K11+'ت,إ المحكوم بإقرارها'!G11+'تعديل قرارات تويف'!J10</f>
        <v>5355956</v>
      </c>
      <c r="N11" s="363">
        <f t="shared" ref="N11:N35" si="4">M11/L11</f>
        <v>0.8436551992568968</v>
      </c>
      <c r="O11" s="62"/>
      <c r="S11" s="80"/>
      <c r="U11" s="62"/>
    </row>
    <row r="12" spans="2:21" ht="28.5" customHeight="1">
      <c r="B12" s="358" t="s">
        <v>4</v>
      </c>
      <c r="C12" s="359">
        <v>66</v>
      </c>
      <c r="D12" s="360">
        <f>'قرارات التوظيف الإجباري'!C12+'ت,إ المحكوم بإقرارها'!B12+'تعديل قرارات تويف'!B11+'إلغاء قرارات تويف'!C12</f>
        <v>28</v>
      </c>
      <c r="E12" s="361">
        <f t="shared" si="1"/>
        <v>0.42424242424242425</v>
      </c>
      <c r="F12" s="362">
        <f>'قرارات التوظيف الإجباري'!E12+'ت,إ المحكوم بإقرارها'!D12+'تعديل قرارات تويف'!D11+'إلغاء قرارات تويف'!E12</f>
        <v>7491206</v>
      </c>
      <c r="G12" s="362">
        <f>'قرارات التوظيف الإجباري'!F12+'ت,إ المحكوم بإقرارها'!D12+'تعديل قرارات تويف'!E11</f>
        <v>5303118</v>
      </c>
      <c r="H12" s="363">
        <f t="shared" si="2"/>
        <v>0.70791245094581567</v>
      </c>
      <c r="I12" s="360">
        <v>189</v>
      </c>
      <c r="J12" s="360">
        <f>'قرارات التوظيف الإجباري'!H12+'ت,إ المحكوم بإقرارها'!E12+'تعديل قرارات تويف'!G11+'إلغاء قرارات تويف'!F12</f>
        <v>37</v>
      </c>
      <c r="K12" s="363">
        <f t="shared" si="3"/>
        <v>0.19576719576719576</v>
      </c>
      <c r="L12" s="362">
        <f>'قرارات التوظيف الإجباري'!J12+'ت,إ المحكوم بإقرارها'!G12+'تعديل قرارات تويف'!I11+'إلغاء قرارات تويف'!H12</f>
        <v>4994745</v>
      </c>
      <c r="M12" s="362">
        <f>'قرارات التوظيف الإجباري'!K12+'ت,إ المحكوم بإقرارها'!G12+'تعديل قرارات تويف'!J11</f>
        <v>2426377</v>
      </c>
      <c r="N12" s="363">
        <f t="shared" si="4"/>
        <v>0.48578596104505833</v>
      </c>
      <c r="O12" s="62"/>
      <c r="S12" s="80"/>
      <c r="U12" s="62"/>
    </row>
    <row r="13" spans="2:21" ht="28.5" customHeight="1">
      <c r="B13" s="358" t="s">
        <v>5</v>
      </c>
      <c r="C13" s="359">
        <v>202</v>
      </c>
      <c r="D13" s="360">
        <f>'قرارات التوظيف الإجباري'!C13+'ت,إ المحكوم بإقرارها'!B13+'تعديل قرارات تويف'!B12+'إلغاء قرارات تويف'!C13</f>
        <v>59</v>
      </c>
      <c r="E13" s="361">
        <f t="shared" si="1"/>
        <v>0.29207920792079206</v>
      </c>
      <c r="F13" s="362">
        <f>'قرارات التوظيف الإجباري'!E13+'ت,إ المحكوم بإقرارها'!D13+'تعديل قرارات تويف'!D12+'إلغاء قرارات تويف'!E13</f>
        <v>2366000</v>
      </c>
      <c r="G13" s="362">
        <f>'قرارات التوظيف الإجباري'!F13+'ت,إ المحكوم بإقرارها'!D13+'تعديل قرارات تويف'!E12</f>
        <v>931000</v>
      </c>
      <c r="H13" s="363">
        <f t="shared" si="2"/>
        <v>0.39349112426035504</v>
      </c>
      <c r="I13" s="360">
        <v>540</v>
      </c>
      <c r="J13" s="360">
        <f>'قرارات التوظيف الإجباري'!H13+'ت,إ المحكوم بإقرارها'!E13+'تعديل قرارات تويف'!G12+'إلغاء قرارات تويف'!F13</f>
        <v>120</v>
      </c>
      <c r="K13" s="363">
        <f t="shared" si="3"/>
        <v>0.22222222222222221</v>
      </c>
      <c r="L13" s="362">
        <f>'قرارات التوظيف الإجباري'!J13+'ت,إ المحكوم بإقرارها'!G13+'تعديل قرارات تويف'!I12+'إلغاء قرارات تويف'!H13</f>
        <v>8909145</v>
      </c>
      <c r="M13" s="362">
        <f>'قرارات التوظيف الإجباري'!K13+'ت,إ المحكوم بإقرارها'!G13+'تعديل قرارات تويف'!J12</f>
        <v>6084781</v>
      </c>
      <c r="N13" s="363">
        <f t="shared" si="4"/>
        <v>0.68298147577573376</v>
      </c>
      <c r="O13" s="62"/>
      <c r="S13" s="80"/>
      <c r="U13" s="62"/>
    </row>
    <row r="14" spans="2:21" ht="28.5" customHeight="1">
      <c r="B14" s="358" t="s">
        <v>6</v>
      </c>
      <c r="C14" s="359">
        <v>39</v>
      </c>
      <c r="D14" s="360">
        <f>'قرارات التوظيف الإجباري'!C14+'ت,إ المحكوم بإقرارها'!B14+'تعديل قرارات تويف'!B13+'إلغاء قرارات تويف'!C14</f>
        <v>24</v>
      </c>
      <c r="E14" s="361">
        <f t="shared" si="1"/>
        <v>0.61538461538461542</v>
      </c>
      <c r="F14" s="362">
        <f>'قرارات التوظيف الإجباري'!E14+'ت,إ المحكوم بإقرارها'!D14+'تعديل قرارات تويف'!D13+'إلغاء قرارات تويف'!E14</f>
        <v>5091000</v>
      </c>
      <c r="G14" s="362">
        <f>'قرارات التوظيف الإجباري'!F14+'ت,إ المحكوم بإقرارها'!D14+'تعديل قرارات تويف'!E13</f>
        <v>4520500</v>
      </c>
      <c r="H14" s="363">
        <f t="shared" si="2"/>
        <v>0.88793950108033781</v>
      </c>
      <c r="I14" s="360">
        <v>155</v>
      </c>
      <c r="J14" s="360">
        <f>'قرارات التوظيف الإجباري'!H14+'ت,إ المحكوم بإقرارها'!E14+'تعديل قرارات تويف'!G13+'إلغاء قرارات تويف'!F14</f>
        <v>33</v>
      </c>
      <c r="K14" s="363">
        <f t="shared" si="3"/>
        <v>0.2129032258064516</v>
      </c>
      <c r="L14" s="362">
        <f>'قرارات التوظيف الإجباري'!J14+'ت,إ المحكوم بإقرارها'!G14+'تعديل قرارات تويف'!I13+'إلغاء قرارات تويف'!H14</f>
        <v>1361648.0649999999</v>
      </c>
      <c r="M14" s="362">
        <f>'قرارات التوظيف الإجباري'!K14+'ت,إ المحكوم بإقرارها'!G14+'تعديل قرارات تويف'!J13</f>
        <v>382217.125</v>
      </c>
      <c r="N14" s="363">
        <f t="shared" si="4"/>
        <v>0.28070184567111328</v>
      </c>
      <c r="O14" s="62"/>
      <c r="S14" s="80"/>
      <c r="U14" s="62"/>
    </row>
    <row r="15" spans="2:21" ht="28.5" customHeight="1">
      <c r="B15" s="358" t="s">
        <v>7</v>
      </c>
      <c r="C15" s="359">
        <v>71</v>
      </c>
      <c r="D15" s="360">
        <f>'قرارات التوظيف الإجباري'!C15+'ت,إ المحكوم بإقرارها'!B15+'تعديل قرارات تويف'!B14+'إلغاء قرارات تويف'!C15</f>
        <v>47</v>
      </c>
      <c r="E15" s="361">
        <f t="shared" si="1"/>
        <v>0.6619718309859155</v>
      </c>
      <c r="F15" s="362">
        <f>'قرارات التوظيف الإجباري'!E15+'ت,إ المحكوم بإقرارها'!D15+'تعديل قرارات تويف'!D14+'إلغاء قرارات تويف'!E15</f>
        <v>13603614.544000002</v>
      </c>
      <c r="G15" s="362">
        <f>'قرارات التوظيف الإجباري'!F15+'ت,إ المحكوم بإقرارها'!D15+'تعديل قرارات تويف'!E14</f>
        <v>5604563.2689999994</v>
      </c>
      <c r="H15" s="363">
        <f t="shared" si="2"/>
        <v>0.41199074340664432</v>
      </c>
      <c r="I15" s="360">
        <v>466</v>
      </c>
      <c r="J15" s="360">
        <f>'قرارات التوظيف الإجباري'!H15+'ت,إ المحكوم بإقرارها'!E15+'تعديل قرارات تويف'!G14+'إلغاء قرارات تويف'!F15</f>
        <v>139</v>
      </c>
      <c r="K15" s="363">
        <f t="shared" si="3"/>
        <v>0.29828326180257508</v>
      </c>
      <c r="L15" s="362">
        <f>'قرارات التوظيف الإجباري'!J15+'ت,إ المحكوم بإقرارها'!G15+'تعديل قرارات تويف'!I14+'إلغاء قرارات تويف'!H15</f>
        <v>50788224.637999997</v>
      </c>
      <c r="M15" s="362">
        <f>'قرارات التوظيف الإجباري'!K15+'ت,إ المحكوم بإقرارها'!G15+'تعديل قرارات تويف'!J14</f>
        <v>8314791.7930000005</v>
      </c>
      <c r="N15" s="363">
        <f t="shared" si="4"/>
        <v>0.16371495267386907</v>
      </c>
      <c r="O15" s="62"/>
      <c r="S15" s="80"/>
      <c r="U15" s="62"/>
    </row>
    <row r="16" spans="2:21" ht="28.5" customHeight="1">
      <c r="B16" s="358" t="s">
        <v>71</v>
      </c>
      <c r="C16" s="359">
        <v>11</v>
      </c>
      <c r="D16" s="360">
        <f>'قرارات التوظيف الإجباري'!C16+'ت,إ المحكوم بإقرارها'!B16+'تعديل قرارات تويف'!B15+'إلغاء قرارات تويف'!C16</f>
        <v>3</v>
      </c>
      <c r="E16" s="361">
        <f t="shared" si="1"/>
        <v>0.27272727272727271</v>
      </c>
      <c r="F16" s="362">
        <f>'قرارات التوظيف الإجباري'!E16+'ت,إ المحكوم بإقرارها'!D16+'تعديل قرارات تويف'!D15+'إلغاء قرارات تويف'!E16</f>
        <v>1100104</v>
      </c>
      <c r="G16" s="362">
        <f>'قرارات التوظيف الإجباري'!F16+'ت,إ المحكوم بإقرارها'!D16+'تعديل قرارات تويف'!E15</f>
        <v>948130</v>
      </c>
      <c r="H16" s="363">
        <f t="shared" si="2"/>
        <v>0.86185487917505976</v>
      </c>
      <c r="I16" s="360">
        <v>95</v>
      </c>
      <c r="J16" s="360">
        <f>'قرارات التوظيف الإجباري'!H16+'ت,إ المحكوم بإقرارها'!E16+'تعديل قرارات تويف'!G15+'إلغاء قرارات تويف'!F16</f>
        <v>25</v>
      </c>
      <c r="K16" s="363">
        <f t="shared" si="3"/>
        <v>0.26315789473684209</v>
      </c>
      <c r="L16" s="362">
        <f>'قرارات التوظيف الإجباري'!J16+'ت,إ المحكوم بإقرارها'!G16+'تعديل قرارات تويف'!I15+'إلغاء قرارات تويف'!H16</f>
        <v>1486711</v>
      </c>
      <c r="M16" s="362">
        <f>'قرارات التوظيف الإجباري'!K16+'ت,إ المحكوم بإقرارها'!G16+'تعديل قرارات تويف'!J15</f>
        <v>924394</v>
      </c>
      <c r="N16" s="363">
        <f t="shared" si="4"/>
        <v>0.62177114449277637</v>
      </c>
      <c r="O16" s="62"/>
      <c r="S16" s="80"/>
      <c r="U16" s="62"/>
    </row>
    <row r="17" spans="2:21" ht="28.5" customHeight="1">
      <c r="B17" s="358" t="s">
        <v>72</v>
      </c>
      <c r="C17" s="359">
        <v>1</v>
      </c>
      <c r="D17" s="360">
        <f>'قرارات التوظيف الإجباري'!C17+'ت,إ المحكوم بإقرارها'!B17+'تعديل قرارات تويف'!B16+'إلغاء قرارات تويف'!C17</f>
        <v>0</v>
      </c>
      <c r="E17" s="361">
        <f t="shared" si="1"/>
        <v>0</v>
      </c>
      <c r="F17" s="362">
        <f>'قرارات التوظيف الإجباري'!E17+'ت,إ المحكوم بإقرارها'!D17+'تعديل قرارات تويف'!D16+'إلغاء قرارات تويف'!E17</f>
        <v>0</v>
      </c>
      <c r="G17" s="362">
        <f>'قرارات التوظيف الإجباري'!F17+'ت,إ المحكوم بإقرارها'!D17+'تعديل قرارات تويف'!E16</f>
        <v>0</v>
      </c>
      <c r="H17" s="363"/>
      <c r="I17" s="360">
        <v>21</v>
      </c>
      <c r="J17" s="360">
        <f>'قرارات التوظيف الإجباري'!H17+'ت,إ المحكوم بإقرارها'!E17+'تعديل قرارات تويف'!G16+'إلغاء قرارات تويف'!F17</f>
        <v>0</v>
      </c>
      <c r="K17" s="363">
        <f t="shared" si="3"/>
        <v>0</v>
      </c>
      <c r="L17" s="362">
        <f>'قرارات التوظيف الإجباري'!J17+'ت,إ المحكوم بإقرارها'!G17+'تعديل قرارات تويف'!I16+'إلغاء قرارات تويف'!H17</f>
        <v>0</v>
      </c>
      <c r="M17" s="362">
        <f>'قرارات التوظيف الإجباري'!K17+'ت,إ المحكوم بإقرارها'!G17+'تعديل قرارات تويف'!J16</f>
        <v>0</v>
      </c>
      <c r="N17" s="363"/>
      <c r="O17" s="62"/>
      <c r="S17" s="80"/>
      <c r="U17" s="62"/>
    </row>
    <row r="18" spans="2:21" ht="28.5" customHeight="1">
      <c r="B18" s="358" t="s">
        <v>8</v>
      </c>
      <c r="C18" s="359">
        <v>65</v>
      </c>
      <c r="D18" s="360">
        <f>'قرارات التوظيف الإجباري'!C18+'ت,إ المحكوم بإقرارها'!B18+'تعديل قرارات تويف'!B17+'إلغاء قرارات تويف'!C18</f>
        <v>38</v>
      </c>
      <c r="E18" s="361">
        <f t="shared" si="1"/>
        <v>0.58461538461538465</v>
      </c>
      <c r="F18" s="362">
        <f>'قرارات التوظيف الإجباري'!E18+'ت,إ المحكوم بإقرارها'!D18+'تعديل قرارات تويف'!D17+'إلغاء قرارات تويف'!E18</f>
        <v>2696000</v>
      </c>
      <c r="G18" s="362">
        <f>'قرارات التوظيف الإجباري'!F18+'ت,إ المحكوم بإقرارها'!D18+'تعديل قرارات تويف'!E17</f>
        <v>1715000</v>
      </c>
      <c r="H18" s="363">
        <f t="shared" si="2"/>
        <v>0.63612759643916916</v>
      </c>
      <c r="I18" s="360">
        <v>317</v>
      </c>
      <c r="J18" s="360">
        <f>'قرارات التوظيف الإجباري'!H18+'ت,إ المحكوم بإقرارها'!E18+'تعديل قرارات تويف'!G17+'إلغاء قرارات تويف'!F18</f>
        <v>90</v>
      </c>
      <c r="K18" s="363">
        <f t="shared" si="3"/>
        <v>0.28391167192429023</v>
      </c>
      <c r="L18" s="362">
        <f>'قرارات التوظيف الإجباري'!J18+'ت,إ المحكوم بإقرارها'!G18+'تعديل قرارات تويف'!I17+'إلغاء قرارات تويف'!H18</f>
        <v>5072713</v>
      </c>
      <c r="M18" s="362">
        <f>'قرارات التوظيف الإجباري'!K18+'ت,إ المحكوم بإقرارها'!G18+'تعديل قرارات تويف'!J17</f>
        <v>3313365</v>
      </c>
      <c r="N18" s="363">
        <f t="shared" si="4"/>
        <v>0.6531741496118546</v>
      </c>
      <c r="O18" s="62"/>
      <c r="S18" s="80"/>
      <c r="U18" s="62"/>
    </row>
    <row r="19" spans="2:21" ht="28.5" customHeight="1">
      <c r="B19" s="358" t="s">
        <v>9</v>
      </c>
      <c r="C19" s="359">
        <v>91</v>
      </c>
      <c r="D19" s="360">
        <f>'قرارات التوظيف الإجباري'!C19+'ت,إ المحكوم بإقرارها'!B19+'تعديل قرارات تويف'!B18+'إلغاء قرارات تويف'!C19</f>
        <v>19</v>
      </c>
      <c r="E19" s="361">
        <f t="shared" si="1"/>
        <v>0.2087912087912088</v>
      </c>
      <c r="F19" s="362">
        <f>'قرارات التوظيف الإجباري'!E19+'ت,إ المحكوم بإقرارها'!D19+'تعديل قرارات تويف'!D18+'إلغاء قرارات تويف'!E19</f>
        <v>1443707</v>
      </c>
      <c r="G19" s="362">
        <f>'قرارات التوظيف الإجباري'!F19+'ت,إ المحكوم بإقرارها'!D19+'تعديل قرارات تويف'!E18</f>
        <v>1349090</v>
      </c>
      <c r="H19" s="363">
        <f t="shared" si="2"/>
        <v>0.93446246364393881</v>
      </c>
      <c r="I19" s="360">
        <v>200</v>
      </c>
      <c r="J19" s="360">
        <f>'قرارات التوظيف الإجباري'!H19+'ت,إ المحكوم بإقرارها'!E19+'تعديل قرارات تويف'!G18+'إلغاء قرارات تويف'!F19</f>
        <v>43</v>
      </c>
      <c r="K19" s="363">
        <f t="shared" si="3"/>
        <v>0.215</v>
      </c>
      <c r="L19" s="362">
        <f>'قرارات التوظيف الإجباري'!J19+'ت,إ المحكوم بإقرارها'!G19+'تعديل قرارات تويف'!I18+'إلغاء قرارات تويف'!H19</f>
        <v>3371630.64</v>
      </c>
      <c r="M19" s="362">
        <f>'قرارات التوظيف الإجباري'!K19+'ت,إ المحكوم بإقرارها'!G19+'تعديل قرارات تويف'!J18</f>
        <v>1635389.8669999999</v>
      </c>
      <c r="N19" s="363">
        <f t="shared" si="4"/>
        <v>0.48504419422407424</v>
      </c>
      <c r="O19" s="62"/>
      <c r="S19" s="80"/>
      <c r="U19" s="62"/>
    </row>
    <row r="20" spans="2:21" ht="28.5" customHeight="1">
      <c r="B20" s="358" t="s">
        <v>10</v>
      </c>
      <c r="C20" s="359">
        <v>24</v>
      </c>
      <c r="D20" s="360">
        <f>'قرارات التوظيف الإجباري'!C20+'ت,إ المحكوم بإقرارها'!B20+'تعديل قرارات تويف'!B19+'إلغاء قرارات تويف'!C20</f>
        <v>18</v>
      </c>
      <c r="E20" s="361">
        <f t="shared" si="1"/>
        <v>0.75</v>
      </c>
      <c r="F20" s="362">
        <f>'قرارات التوظيف الإجباري'!E20+'ت,إ المحكوم بإقرارها'!D20+'تعديل قرارات تويف'!D19+'إلغاء قرارات تويف'!E20</f>
        <v>3833435</v>
      </c>
      <c r="G20" s="362">
        <f>'قرارات التوظيف الإجباري'!F20+'ت,إ المحكوم بإقرارها'!D20+'تعديل قرارات تويف'!E19</f>
        <v>2934664</v>
      </c>
      <c r="H20" s="363">
        <f t="shared" si="2"/>
        <v>0.76554421817508322</v>
      </c>
      <c r="I20" s="360">
        <v>281</v>
      </c>
      <c r="J20" s="360">
        <f>'قرارات التوظيف الإجباري'!H20+'ت,إ المحكوم بإقرارها'!E20+'تعديل قرارات تويف'!G19+'إلغاء قرارات تويف'!F20</f>
        <v>74</v>
      </c>
      <c r="K20" s="363">
        <f t="shared" si="3"/>
        <v>0.26334519572953735</v>
      </c>
      <c r="L20" s="362">
        <f>'قرارات التوظيف الإجباري'!J20+'ت,إ المحكوم بإقرارها'!G20+'تعديل قرارات تويف'!I19+'إلغاء قرارات تويف'!H20</f>
        <v>64458593</v>
      </c>
      <c r="M20" s="362">
        <f>'قرارات التوظيف الإجباري'!K20+'ت,إ المحكوم بإقرارها'!G20+'تعديل قرارات تويف'!J19</f>
        <v>62916948</v>
      </c>
      <c r="N20" s="363">
        <f t="shared" si="4"/>
        <v>0.97608317327062977</v>
      </c>
      <c r="O20" s="62"/>
      <c r="S20" s="80"/>
      <c r="U20" s="62"/>
    </row>
    <row r="21" spans="2:21" ht="28.5" customHeight="1">
      <c r="B21" s="358" t="s">
        <v>11</v>
      </c>
      <c r="C21" s="359">
        <v>20</v>
      </c>
      <c r="D21" s="360">
        <f>'قرارات التوظيف الإجباري'!C21+'ت,إ المحكوم بإقرارها'!B21+'تعديل قرارات تويف'!B20+'إلغاء قرارات تويف'!C21</f>
        <v>15</v>
      </c>
      <c r="E21" s="361">
        <f t="shared" si="1"/>
        <v>0.75</v>
      </c>
      <c r="F21" s="362">
        <f>'قرارات التوظيف الإجباري'!E21+'ت,إ المحكوم بإقرارها'!D21+'تعديل قرارات تويف'!D20+'إلغاء قرارات تويف'!E21</f>
        <v>1747090</v>
      </c>
      <c r="G21" s="362">
        <f>'قرارات التوظيف الإجباري'!F21+'ت,إ المحكوم بإقرارها'!D21+'تعديل قرارات تويف'!E20</f>
        <v>1300024</v>
      </c>
      <c r="H21" s="363">
        <f t="shared" si="2"/>
        <v>0.74410820278291334</v>
      </c>
      <c r="I21" s="360">
        <v>44</v>
      </c>
      <c r="J21" s="360">
        <f>'قرارات التوظيف الإجباري'!H21+'ت,إ المحكوم بإقرارها'!E21+'تعديل قرارات تويف'!G20+'إلغاء قرارات تويف'!F21</f>
        <v>21</v>
      </c>
      <c r="K21" s="363">
        <f t="shared" si="3"/>
        <v>0.47727272727272729</v>
      </c>
      <c r="L21" s="362">
        <f>'قرارات التوظيف الإجباري'!J21+'ت,إ المحكوم بإقرارها'!G21+'تعديل قرارات تويف'!I20+'إلغاء قرارات تويف'!H21</f>
        <v>1876212</v>
      </c>
      <c r="M21" s="362">
        <f>'قرارات التوظيف الإجباري'!K21+'ت,إ المحكوم بإقرارها'!G21+'تعديل قرارات تويف'!J20</f>
        <v>899071</v>
      </c>
      <c r="N21" s="363">
        <f t="shared" si="4"/>
        <v>0.47919478182636077</v>
      </c>
      <c r="O21" s="62"/>
      <c r="S21" s="80"/>
      <c r="U21" s="62"/>
    </row>
    <row r="22" spans="2:21" ht="28.5" customHeight="1">
      <c r="B22" s="358" t="s">
        <v>12</v>
      </c>
      <c r="C22" s="359">
        <v>37</v>
      </c>
      <c r="D22" s="360">
        <f>'قرارات التوظيف الإجباري'!C22+'ت,إ المحكوم بإقرارها'!B22+'تعديل قرارات تويف'!B21+'إلغاء قرارات تويف'!C22</f>
        <v>20</v>
      </c>
      <c r="E22" s="361">
        <f t="shared" si="1"/>
        <v>0.54054054054054057</v>
      </c>
      <c r="F22" s="362">
        <f>'قرارات التوظيف الإجباري'!E22+'ت,إ المحكوم بإقرارها'!D22+'تعديل قرارات تويف'!D21+'إلغاء قرارات تويف'!E22</f>
        <v>870440</v>
      </c>
      <c r="G22" s="362">
        <f>'قرارات التوظيف الإجباري'!F22+'ت,إ المحكوم بإقرارها'!D22+'تعديل قرارات تويف'!E21</f>
        <v>711575</v>
      </c>
      <c r="H22" s="363">
        <f t="shared" si="2"/>
        <v>0.81748885621065204</v>
      </c>
      <c r="I22" s="360">
        <v>53</v>
      </c>
      <c r="J22" s="360">
        <f>'قرارات التوظيف الإجباري'!H22+'ت,إ المحكوم بإقرارها'!E22+'تعديل قرارات تويف'!G21+'إلغاء قرارات تويف'!F22</f>
        <v>27</v>
      </c>
      <c r="K22" s="363">
        <f t="shared" si="3"/>
        <v>0.50943396226415094</v>
      </c>
      <c r="L22" s="362">
        <f>'قرارات التوظيف الإجباري'!J22+'ت,إ المحكوم بإقرارها'!G22+'تعديل قرارات تويف'!I21+'إلغاء قرارات تويف'!H22</f>
        <v>3321403</v>
      </c>
      <c r="M22" s="362">
        <f>'قرارات التوظيف الإجباري'!K22+'ت,إ المحكوم بإقرارها'!G22+'تعديل قرارات تويف'!J21</f>
        <v>2603492</v>
      </c>
      <c r="N22" s="363">
        <f t="shared" si="4"/>
        <v>0.78385308858937019</v>
      </c>
      <c r="O22" s="62"/>
      <c r="S22" s="80"/>
      <c r="U22" s="62"/>
    </row>
    <row r="23" spans="2:21" ht="28.5" customHeight="1">
      <c r="B23" s="358" t="s">
        <v>13</v>
      </c>
      <c r="C23" s="359">
        <v>15</v>
      </c>
      <c r="D23" s="360">
        <f>'قرارات التوظيف الإجباري'!C23+'ت,إ المحكوم بإقرارها'!B23+'تعديل قرارات تويف'!B22+'إلغاء قرارات تويف'!C23</f>
        <v>4</v>
      </c>
      <c r="E23" s="361">
        <f t="shared" si="1"/>
        <v>0.26666666666666666</v>
      </c>
      <c r="F23" s="362">
        <f>'قرارات التوظيف الإجباري'!E23+'ت,إ المحكوم بإقرارها'!D23+'تعديل قرارات تويف'!D22+'إلغاء قرارات تويف'!E23</f>
        <v>1527034</v>
      </c>
      <c r="G23" s="362">
        <f>'قرارات التوظيف الإجباري'!F23+'ت,إ المحكوم بإقرارها'!D23+'تعديل قرارات تويف'!E22</f>
        <v>1456685</v>
      </c>
      <c r="H23" s="363">
        <f t="shared" si="2"/>
        <v>0.95393095373122017</v>
      </c>
      <c r="I23" s="360">
        <v>50</v>
      </c>
      <c r="J23" s="360">
        <f>'قرارات التوظيف الإجباري'!H23+'ت,إ المحكوم بإقرارها'!E23+'تعديل قرارات تويف'!G22+'إلغاء قرارات تويف'!F23</f>
        <v>10</v>
      </c>
      <c r="K23" s="363">
        <f t="shared" si="3"/>
        <v>0.2</v>
      </c>
      <c r="L23" s="362">
        <f>'قرارات التوظيف الإجباري'!J23+'ت,إ المحكوم بإقرارها'!G23+'تعديل قرارات تويف'!I22+'إلغاء قرارات تويف'!H23</f>
        <v>379696</v>
      </c>
      <c r="M23" s="362">
        <f>'قرارات التوظيف الإجباري'!K23+'ت,إ المحكوم بإقرارها'!G23+'تعديل قرارات تويف'!J22</f>
        <v>149794</v>
      </c>
      <c r="N23" s="363">
        <f t="shared" si="4"/>
        <v>0.39451034511819982</v>
      </c>
      <c r="O23" s="62"/>
      <c r="S23" s="80"/>
      <c r="U23" s="62"/>
    </row>
    <row r="24" spans="2:21" ht="28.5" customHeight="1">
      <c r="B24" s="358" t="s">
        <v>14</v>
      </c>
      <c r="C24" s="359">
        <v>21</v>
      </c>
      <c r="D24" s="360">
        <f>'قرارات التوظيف الإجباري'!C24+'ت,إ المحكوم بإقرارها'!B24+'تعديل قرارات تويف'!B23+'إلغاء قرارات تويف'!C24</f>
        <v>15</v>
      </c>
      <c r="E24" s="361">
        <f t="shared" si="1"/>
        <v>0.7142857142857143</v>
      </c>
      <c r="F24" s="362">
        <f>'قرارات التوظيف الإجباري'!E24+'ت,إ المحكوم بإقرارها'!D24+'تعديل قرارات تويف'!D23+'إلغاء قرارات تويف'!E24</f>
        <v>315382</v>
      </c>
      <c r="G24" s="362">
        <f>'قرارات التوظيف الإجباري'!F24+'ت,إ المحكوم بإقرارها'!D24+'تعديل قرارات تويف'!E23</f>
        <v>310322</v>
      </c>
      <c r="H24" s="363">
        <f t="shared" si="2"/>
        <v>0.98395596451287648</v>
      </c>
      <c r="I24" s="360">
        <v>63</v>
      </c>
      <c r="J24" s="360">
        <f>'قرارات التوظيف الإجباري'!H24+'ت,إ المحكوم بإقرارها'!E24+'تعديل قرارات تويف'!G23+'إلغاء قرارات تويف'!F24</f>
        <v>10</v>
      </c>
      <c r="K24" s="363">
        <f t="shared" si="3"/>
        <v>0.15873015873015872</v>
      </c>
      <c r="L24" s="362">
        <f>'قرارات التوظيف الإجباري'!J24+'ت,إ المحكوم بإقرارها'!G24+'تعديل قرارات تويف'!I23+'إلغاء قرارات تويف'!H24</f>
        <v>252951</v>
      </c>
      <c r="M24" s="362">
        <f>'قرارات التوظيف الإجباري'!K24+'ت,إ المحكوم بإقرارها'!G24+'تعديل قرارات تويف'!J23</f>
        <v>220939</v>
      </c>
      <c r="N24" s="363">
        <f t="shared" si="4"/>
        <v>0.87344584524275448</v>
      </c>
      <c r="O24" s="62"/>
      <c r="S24" s="80"/>
      <c r="U24" s="62"/>
    </row>
    <row r="25" spans="2:21" ht="28.5" customHeight="1">
      <c r="B25" s="358" t="s">
        <v>15</v>
      </c>
      <c r="C25" s="359">
        <v>69</v>
      </c>
      <c r="D25" s="360">
        <f>'قرارات التوظيف الإجباري'!C25+'ت,إ المحكوم بإقرارها'!B25+'تعديل قرارات تويف'!B24+'إلغاء قرارات تويف'!C25</f>
        <v>12</v>
      </c>
      <c r="E25" s="361">
        <f t="shared" si="1"/>
        <v>0.17391304347826086</v>
      </c>
      <c r="F25" s="362">
        <f>'قرارات التوظيف الإجباري'!E25+'ت,إ المحكوم بإقرارها'!D25+'تعديل قرارات تويف'!D24+'إلغاء قرارات تويف'!E25</f>
        <v>314512</v>
      </c>
      <c r="G25" s="362">
        <f>'قرارات التوظيف الإجباري'!F25+'ت,إ المحكوم بإقرارها'!D25+'تعديل قرارات تويف'!E24</f>
        <v>289469</v>
      </c>
      <c r="H25" s="363">
        <f t="shared" si="2"/>
        <v>0.92037505723152058</v>
      </c>
      <c r="I25" s="360">
        <v>181</v>
      </c>
      <c r="J25" s="360">
        <f>'قرارات التوظيف الإجباري'!H25+'ت,إ المحكوم بإقرارها'!E25+'تعديل قرارات تويف'!G24+'إلغاء قرارات تويف'!F25</f>
        <v>60</v>
      </c>
      <c r="K25" s="363">
        <f t="shared" si="3"/>
        <v>0.33149171270718231</v>
      </c>
      <c r="L25" s="362">
        <f>'قرارات التوظيف الإجباري'!J25+'ت,إ المحكوم بإقرارها'!G25+'تعديل قرارات تويف'!I24+'إلغاء قرارات تويف'!H25</f>
        <v>2778183</v>
      </c>
      <c r="M25" s="362">
        <f>'قرارات التوظيف الإجباري'!K25+'ت,إ المحكوم بإقرارها'!G25+'تعديل قرارات تويف'!J24</f>
        <v>2257442</v>
      </c>
      <c r="N25" s="363">
        <f t="shared" si="4"/>
        <v>0.81256058366205541</v>
      </c>
      <c r="O25" s="62"/>
      <c r="S25" s="80"/>
      <c r="U25" s="62"/>
    </row>
    <row r="26" spans="2:21" ht="28.5" customHeight="1">
      <c r="B26" s="358" t="s">
        <v>16</v>
      </c>
      <c r="C26" s="359">
        <v>3</v>
      </c>
      <c r="D26" s="360">
        <f>'قرارات التوظيف الإجباري'!C26+'ت,إ المحكوم بإقرارها'!B26+'تعديل قرارات تويف'!B25+'إلغاء قرارات تويف'!C26</f>
        <v>3</v>
      </c>
      <c r="E26" s="361">
        <f t="shared" si="1"/>
        <v>1</v>
      </c>
      <c r="F26" s="362">
        <f>'قرارات التوظيف الإجباري'!E26+'ت,إ المحكوم بإقرارها'!D26+'تعديل قرارات تويف'!D25+'إلغاء قرارات تويف'!E26</f>
        <v>203491</v>
      </c>
      <c r="G26" s="362">
        <f>'قرارات التوظيف الإجباري'!F26+'ت,إ المحكوم بإقرارها'!D26+'تعديل قرارات تويف'!E25</f>
        <v>103707</v>
      </c>
      <c r="H26" s="363">
        <f t="shared" si="2"/>
        <v>0.50963924694458229</v>
      </c>
      <c r="I26" s="360">
        <v>29</v>
      </c>
      <c r="J26" s="360">
        <f>'قرارات التوظيف الإجباري'!H26+'ت,إ المحكوم بإقرارها'!E26+'تعديل قرارات تويف'!G25+'إلغاء قرارات تويف'!F26</f>
        <v>13</v>
      </c>
      <c r="K26" s="363">
        <f t="shared" si="3"/>
        <v>0.44827586206896552</v>
      </c>
      <c r="L26" s="362">
        <f>'قرارات التوظيف الإجباري'!J26+'ت,إ المحكوم بإقرارها'!G26+'تعديل قرارات تويف'!I25+'إلغاء قرارات تويف'!H26</f>
        <v>746753</v>
      </c>
      <c r="M26" s="362">
        <f>'قرارات التوظيف الإجباري'!K26+'ت,إ المحكوم بإقرارها'!G26+'تعديل قرارات تويف'!J25</f>
        <v>682490</v>
      </c>
      <c r="N26" s="363">
        <f t="shared" si="4"/>
        <v>0.91394343243348197</v>
      </c>
      <c r="O26" s="62"/>
      <c r="S26" s="80"/>
      <c r="U26" s="62"/>
    </row>
    <row r="27" spans="2:21" ht="28.5" customHeight="1">
      <c r="B27" s="358" t="s">
        <v>17</v>
      </c>
      <c r="C27" s="359">
        <v>14</v>
      </c>
      <c r="D27" s="360">
        <f>'قرارات التوظيف الإجباري'!C27+'ت,إ المحكوم بإقرارها'!B27+'تعديل قرارات تويف'!B26+'إلغاء قرارات تويف'!C27</f>
        <v>15</v>
      </c>
      <c r="E27" s="361">
        <f t="shared" si="1"/>
        <v>1.0714285714285714</v>
      </c>
      <c r="F27" s="362">
        <f>'قرارات التوظيف الإجباري'!E27+'ت,إ المحكوم بإقرارها'!D27+'تعديل قرارات تويف'!D26+'إلغاء قرارات تويف'!E27</f>
        <v>1302871</v>
      </c>
      <c r="G27" s="362">
        <f>'قرارات التوظيف الإجباري'!F27+'ت,إ المحكوم بإقرارها'!D27+'تعديل قرارات تويف'!E26</f>
        <v>802690</v>
      </c>
      <c r="H27" s="363">
        <f t="shared" si="2"/>
        <v>0.61609322795579913</v>
      </c>
      <c r="I27" s="360">
        <v>64</v>
      </c>
      <c r="J27" s="360">
        <f>'قرارات التوظيف الإجباري'!H27+'ت,إ المحكوم بإقرارها'!E27+'تعديل قرارات تويف'!G26+'إلغاء قرارات تويف'!F27</f>
        <v>47</v>
      </c>
      <c r="K27" s="363">
        <f t="shared" si="3"/>
        <v>0.734375</v>
      </c>
      <c r="L27" s="362">
        <f>'قرارات التوظيف الإجباري'!J27+'ت,إ المحكوم بإقرارها'!G27+'تعديل قرارات تويف'!I26+'إلغاء قرارات تويف'!H27</f>
        <v>1542305.12</v>
      </c>
      <c r="M27" s="362">
        <f>'قرارات التوظيف الإجباري'!K27+'ت,إ المحكوم بإقرارها'!G27+'تعديل قرارات تويف'!J26</f>
        <v>1195006.3470000001</v>
      </c>
      <c r="N27" s="363">
        <f t="shared" si="4"/>
        <v>0.77481837510855178</v>
      </c>
      <c r="O27" s="62"/>
      <c r="S27" s="80"/>
      <c r="U27" s="62"/>
    </row>
    <row r="28" spans="2:21" ht="28.5" customHeight="1">
      <c r="B28" s="358" t="s">
        <v>18</v>
      </c>
      <c r="C28" s="359">
        <v>7</v>
      </c>
      <c r="D28" s="360">
        <f>'قرارات التوظيف الإجباري'!C28+'ت,إ المحكوم بإقرارها'!B28+'تعديل قرارات تويف'!B27+'إلغاء قرارات تويف'!C28</f>
        <v>4</v>
      </c>
      <c r="E28" s="361">
        <f t="shared" si="1"/>
        <v>0.5714285714285714</v>
      </c>
      <c r="F28" s="362">
        <f>'قرارات التوظيف الإجباري'!E28+'ت,إ المحكوم بإقرارها'!D28+'تعديل قرارات تويف'!D27+'إلغاء قرارات تويف'!E28</f>
        <v>156594</v>
      </c>
      <c r="G28" s="362">
        <f>'قرارات التوظيف الإجباري'!F28+'ت,إ المحكوم بإقرارها'!D28+'تعديل قرارات تويف'!E27</f>
        <v>100182</v>
      </c>
      <c r="H28" s="363">
        <f t="shared" si="2"/>
        <v>0.63975631250239473</v>
      </c>
      <c r="I28" s="360">
        <v>25</v>
      </c>
      <c r="J28" s="360">
        <f>'قرارات التوظيف الإجباري'!H28+'ت,إ المحكوم بإقرارها'!E28+'تعديل قرارات تويف'!G27+'إلغاء قرارات تويف'!F28</f>
        <v>13</v>
      </c>
      <c r="K28" s="363">
        <f t="shared" si="3"/>
        <v>0.52</v>
      </c>
      <c r="L28" s="362">
        <f>'قرارات التوظيف الإجباري'!J28+'ت,إ المحكوم بإقرارها'!G28+'تعديل قرارات تويف'!I27+'إلغاء قرارات تويف'!H28</f>
        <v>1358500</v>
      </c>
      <c r="M28" s="362">
        <f>'قرارات التوظيف الإجباري'!K28+'ت,إ المحكوم بإقرارها'!G28+'تعديل قرارات تويف'!J27</f>
        <v>1325406</v>
      </c>
      <c r="N28" s="363">
        <f t="shared" si="4"/>
        <v>0.9756393080603607</v>
      </c>
      <c r="O28" s="62"/>
      <c r="S28" s="80"/>
      <c r="U28" s="62"/>
    </row>
    <row r="29" spans="2:21" ht="28.5" customHeight="1">
      <c r="B29" s="358" t="s">
        <v>19</v>
      </c>
      <c r="C29" s="359">
        <v>9</v>
      </c>
      <c r="D29" s="360">
        <f>'قرارات التوظيف الإجباري'!C29+'ت,إ المحكوم بإقرارها'!B29+'تعديل قرارات تويف'!B28+'إلغاء قرارات تويف'!C29</f>
        <v>2</v>
      </c>
      <c r="E29" s="361">
        <f t="shared" si="1"/>
        <v>0.22222222222222221</v>
      </c>
      <c r="F29" s="362">
        <f>'قرارات التوظيف الإجباري'!E29+'ت,إ المحكوم بإقرارها'!D29+'تعديل قرارات تويف'!D28+'إلغاء قرارات تويف'!E29</f>
        <v>7000</v>
      </c>
      <c r="G29" s="362">
        <f>'قرارات التوظيف الإجباري'!F29+'ت,إ المحكوم بإقرارها'!D29+'تعديل قرارات تويف'!E28</f>
        <v>7000</v>
      </c>
      <c r="H29" s="363">
        <f t="shared" si="2"/>
        <v>1</v>
      </c>
      <c r="I29" s="360">
        <v>9</v>
      </c>
      <c r="J29" s="360">
        <f>'قرارات التوظيف الإجباري'!H29+'ت,إ المحكوم بإقرارها'!E29+'تعديل قرارات تويف'!G28+'إلغاء قرارات تويف'!F29</f>
        <v>1</v>
      </c>
      <c r="K29" s="363">
        <f t="shared" si="3"/>
        <v>0.1111111111111111</v>
      </c>
      <c r="L29" s="362">
        <f>'قرارات التوظيف الإجباري'!J29+'ت,إ المحكوم بإقرارها'!G29+'تعديل قرارات تويف'!I28+'إلغاء قرارات تويف'!H29</f>
        <v>3464</v>
      </c>
      <c r="M29" s="362">
        <f>'قرارات التوظيف الإجباري'!K29+'ت,إ المحكوم بإقرارها'!G29+'تعديل قرارات تويف'!J28</f>
        <v>3464</v>
      </c>
      <c r="N29" s="363">
        <f t="shared" si="4"/>
        <v>1</v>
      </c>
      <c r="O29" s="62"/>
      <c r="S29" s="80"/>
      <c r="U29" s="62"/>
    </row>
    <row r="30" spans="2:21" ht="28.5" customHeight="1">
      <c r="B30" s="358" t="s">
        <v>20</v>
      </c>
      <c r="C30" s="359">
        <v>6</v>
      </c>
      <c r="D30" s="360">
        <f>'قرارات التوظيف الإجباري'!C30+'ت,إ المحكوم بإقرارها'!B30+'تعديل قرارات تويف'!B29+'إلغاء قرارات تويف'!C30</f>
        <v>4</v>
      </c>
      <c r="E30" s="361">
        <f t="shared" si="1"/>
        <v>0.66666666666666663</v>
      </c>
      <c r="F30" s="362">
        <f>'قرارات التوظيف الإجباري'!E30+'ت,إ المحكوم بإقرارها'!D30+'تعديل قرارات تويف'!D29+'إلغاء قرارات تويف'!E30</f>
        <v>112669.158</v>
      </c>
      <c r="G30" s="362">
        <f>'قرارات التوظيف الإجباري'!F30+'ت,إ المحكوم بإقرارها'!D30+'تعديل قرارات تويف'!E29</f>
        <v>81631.274999999994</v>
      </c>
      <c r="H30" s="363">
        <f t="shared" si="2"/>
        <v>0.72452192284955208</v>
      </c>
      <c r="I30" s="360">
        <v>11</v>
      </c>
      <c r="J30" s="360">
        <f>'قرارات التوظيف الإجباري'!H30+'ت,إ المحكوم بإقرارها'!E30+'تعديل قرارات تويف'!G29+'إلغاء قرارات تويف'!F30</f>
        <v>0</v>
      </c>
      <c r="K30" s="363">
        <f t="shared" si="3"/>
        <v>0</v>
      </c>
      <c r="L30" s="362">
        <f>'قرارات التوظيف الإجباري'!J30+'ت,إ المحكوم بإقرارها'!G30+'تعديل قرارات تويف'!I29+'إلغاء قرارات تويف'!H30</f>
        <v>0</v>
      </c>
      <c r="M30" s="362">
        <f>'قرارات التوظيف الإجباري'!K30+'ت,إ المحكوم بإقرارها'!G30+'تعديل قرارات تويف'!J29</f>
        <v>0</v>
      </c>
      <c r="N30" s="363"/>
      <c r="O30" s="62"/>
      <c r="S30" s="80"/>
      <c r="U30" s="62"/>
    </row>
    <row r="31" spans="2:21" ht="28.5" customHeight="1">
      <c r="B31" s="358" t="s">
        <v>21</v>
      </c>
      <c r="C31" s="359">
        <v>4</v>
      </c>
      <c r="D31" s="360">
        <f>'قرارات التوظيف الإجباري'!C31+'ت,إ المحكوم بإقرارها'!B31+'تعديل قرارات تويف'!B30+'إلغاء قرارات تويف'!C31</f>
        <v>0</v>
      </c>
      <c r="E31" s="361">
        <f t="shared" si="1"/>
        <v>0</v>
      </c>
      <c r="F31" s="362">
        <f>'قرارات التوظيف الإجباري'!E31+'ت,إ المحكوم بإقرارها'!D31+'تعديل قرارات تويف'!D30+'إلغاء قرارات تويف'!E31</f>
        <v>0</v>
      </c>
      <c r="G31" s="362">
        <f>'قرارات التوظيف الإجباري'!F31+'ت,إ المحكوم بإقرارها'!D31+'تعديل قرارات تويف'!E30</f>
        <v>0</v>
      </c>
      <c r="H31" s="363"/>
      <c r="I31" s="360">
        <v>76</v>
      </c>
      <c r="J31" s="360">
        <f>'قرارات التوظيف الإجباري'!H31+'ت,إ المحكوم بإقرارها'!E31+'تعديل قرارات تويف'!G30+'إلغاء قرارات تويف'!F31</f>
        <v>12</v>
      </c>
      <c r="K31" s="363">
        <f t="shared" si="3"/>
        <v>0.15789473684210525</v>
      </c>
      <c r="L31" s="362">
        <f>'قرارات التوظيف الإجباري'!J31+'ت,إ المحكوم بإقرارها'!G31+'تعديل قرارات تويف'!I30+'إلغاء قرارات تويف'!H31</f>
        <v>366075.32700000005</v>
      </c>
      <c r="M31" s="362">
        <f>'قرارات التوظيف الإجباري'!K31+'ت,إ المحكوم بإقرارها'!G31+'تعديل قرارات تويف'!J30</f>
        <v>198933.375</v>
      </c>
      <c r="N31" s="363">
        <f t="shared" si="4"/>
        <v>0.54342196899820017</v>
      </c>
      <c r="O31" s="62"/>
      <c r="S31" s="80"/>
      <c r="U31" s="62"/>
    </row>
    <row r="32" spans="2:21" ht="28.5" customHeight="1">
      <c r="B32" s="358" t="s">
        <v>22</v>
      </c>
      <c r="C32" s="359">
        <v>3</v>
      </c>
      <c r="D32" s="360">
        <f>'قرارات التوظيف الإجباري'!C32+'ت,إ المحكوم بإقرارها'!B32+'تعديل قرارات تويف'!B31+'إلغاء قرارات تويف'!C32</f>
        <v>0</v>
      </c>
      <c r="E32" s="361">
        <f t="shared" si="1"/>
        <v>0</v>
      </c>
      <c r="F32" s="362">
        <f>'قرارات التوظيف الإجباري'!E32+'ت,إ المحكوم بإقرارها'!D32+'تعديل قرارات تويف'!D31+'إلغاء قرارات تويف'!E32</f>
        <v>0</v>
      </c>
      <c r="G32" s="362">
        <f>'قرارات التوظيف الإجباري'!F32+'ت,إ المحكوم بإقرارها'!D32+'تعديل قرارات تويف'!E31</f>
        <v>0</v>
      </c>
      <c r="H32" s="363"/>
      <c r="I32" s="360">
        <v>48</v>
      </c>
      <c r="J32" s="360">
        <f>'قرارات التوظيف الإجباري'!H32+'ت,إ المحكوم بإقرارها'!E32+'تعديل قرارات تويف'!G31+'إلغاء قرارات تويف'!F32</f>
        <v>18</v>
      </c>
      <c r="K32" s="363">
        <f t="shared" si="3"/>
        <v>0.375</v>
      </c>
      <c r="L32" s="362">
        <f>'قرارات التوظيف الإجباري'!J32+'ت,إ المحكوم بإقرارها'!G32+'تعديل قرارات تويف'!I31+'إلغاء قرارات تويف'!H32</f>
        <v>1323885</v>
      </c>
      <c r="M32" s="362">
        <f>'قرارات التوظيف الإجباري'!K32+'ت,إ المحكوم بإقرارها'!G32+'تعديل قرارات تويف'!J31</f>
        <v>598540</v>
      </c>
      <c r="N32" s="363">
        <f t="shared" si="4"/>
        <v>0.45210875566986558</v>
      </c>
      <c r="O32" s="62"/>
      <c r="S32" s="80"/>
      <c r="U32" s="62"/>
    </row>
    <row r="33" spans="2:62" ht="28.5" customHeight="1">
      <c r="B33" s="358" t="s">
        <v>23</v>
      </c>
      <c r="C33" s="359">
        <v>0</v>
      </c>
      <c r="D33" s="360">
        <f>'قرارات التوظيف الإجباري'!C33+'ت,إ المحكوم بإقرارها'!B33+'تعديل قرارات تويف'!B32+'إلغاء قرارات تويف'!C33</f>
        <v>0</v>
      </c>
      <c r="E33" s="361"/>
      <c r="F33" s="362">
        <f>'قرارات التوظيف الإجباري'!E33+'ت,إ المحكوم بإقرارها'!D33+'تعديل قرارات تويف'!D32+'إلغاء قرارات تويف'!E33</f>
        <v>0</v>
      </c>
      <c r="G33" s="362">
        <f>'قرارات التوظيف الإجباري'!F33+'ت,إ المحكوم بإقرارها'!D33+'تعديل قرارات تويف'!E32</f>
        <v>0</v>
      </c>
      <c r="H33" s="363"/>
      <c r="I33" s="360">
        <v>0</v>
      </c>
      <c r="J33" s="360">
        <f>'قرارات التوظيف الإجباري'!H33+'ت,إ المحكوم بإقرارها'!E33+'تعديل قرارات تويف'!G32+'إلغاء قرارات تويف'!F33</f>
        <v>0</v>
      </c>
      <c r="K33" s="363"/>
      <c r="L33" s="362">
        <f>'قرارات التوظيف الإجباري'!J33+'ت,إ المحكوم بإقرارها'!G33+'تعديل قرارات تويف'!I32+'إلغاء قرارات تويف'!H33</f>
        <v>0</v>
      </c>
      <c r="M33" s="362">
        <f>'قرارات التوظيف الإجباري'!K33+'ت,إ المحكوم بإقرارها'!G33+'تعديل قرارات تويف'!J32</f>
        <v>0</v>
      </c>
      <c r="N33" s="363"/>
      <c r="O33" s="62"/>
      <c r="S33" s="80"/>
      <c r="U33" s="62"/>
    </row>
    <row r="34" spans="2:62" ht="28.5" customHeight="1">
      <c r="B34" s="358" t="s">
        <v>24</v>
      </c>
      <c r="C34" s="359">
        <v>2</v>
      </c>
      <c r="D34" s="360">
        <f>'قرارات التوظيف الإجباري'!C34+'ت,إ المحكوم بإقرارها'!B34+'تعديل قرارات تويف'!B33+'إلغاء قرارات تويف'!C34</f>
        <v>2</v>
      </c>
      <c r="E34" s="361">
        <f t="shared" si="1"/>
        <v>1</v>
      </c>
      <c r="F34" s="362">
        <f>'قرارات التوظيف الإجباري'!E34+'ت,إ المحكوم بإقرارها'!D34+'تعديل قرارات تويف'!D33+'إلغاء قرارات تويف'!E34</f>
        <v>128829</v>
      </c>
      <c r="G34" s="362">
        <f>'قرارات التوظيف الإجباري'!F34+'ت,إ المحكوم بإقرارها'!D34+'تعديل قرارات تويف'!E33</f>
        <v>128829</v>
      </c>
      <c r="H34" s="363">
        <f>+G34/F34</f>
        <v>1</v>
      </c>
      <c r="I34" s="360">
        <v>12</v>
      </c>
      <c r="J34" s="360">
        <f>'قرارات التوظيف الإجباري'!H34+'ت,إ المحكوم بإقرارها'!E34+'تعديل قرارات تويف'!G33+'إلغاء قرارات تويف'!F34</f>
        <v>5</v>
      </c>
      <c r="K34" s="363">
        <f t="shared" si="3"/>
        <v>0.41666666666666669</v>
      </c>
      <c r="L34" s="362">
        <f>'قرارات التوظيف الإجباري'!J34+'ت,إ المحكوم بإقرارها'!G34+'تعديل قرارات تويف'!I33+'إلغاء قرارات تويف'!H34</f>
        <v>134840</v>
      </c>
      <c r="M34" s="362">
        <f>'قرارات التوظيف الإجباري'!K34+'ت,إ المحكوم بإقرارها'!G34+'تعديل قرارات تويف'!J33</f>
        <v>134840</v>
      </c>
      <c r="N34" s="363">
        <f t="shared" si="4"/>
        <v>1</v>
      </c>
      <c r="O34" s="62"/>
      <c r="S34" s="80"/>
      <c r="U34" s="62"/>
    </row>
    <row r="35" spans="2:62" ht="28.5" customHeight="1" thickBot="1">
      <c r="B35" s="364" t="s">
        <v>25</v>
      </c>
      <c r="C35" s="365">
        <v>0</v>
      </c>
      <c r="D35" s="366">
        <f>'قرارات التوظيف الإجباري'!C35+'ت,إ المحكوم بإقرارها'!B35+'تعديل قرارات تويف'!B34+'إلغاء قرارات تويف'!C35</f>
        <v>0</v>
      </c>
      <c r="E35" s="367"/>
      <c r="F35" s="368">
        <f>'قرارات التوظيف الإجباري'!E35+'ت,إ المحكوم بإقرارها'!D35+'تعديل قرارات تويف'!D34+'إلغاء قرارات تويف'!E35</f>
        <v>0</v>
      </c>
      <c r="G35" s="368">
        <f>'قرارات التوظيف الإجباري'!F35+'ت,إ المحكوم بإقرارها'!D35+'تعديل قرارات تويف'!E34</f>
        <v>0</v>
      </c>
      <c r="H35" s="369"/>
      <c r="I35" s="366">
        <v>9</v>
      </c>
      <c r="J35" s="366">
        <f>'قرارات التوظيف الإجباري'!H35+'ت,إ المحكوم بإقرارها'!E35+'تعديل قرارات تويف'!G34+'إلغاء قرارات تويف'!F35</f>
        <v>4</v>
      </c>
      <c r="K35" s="369">
        <f t="shared" si="3"/>
        <v>0.44444444444444442</v>
      </c>
      <c r="L35" s="368">
        <f>'قرارات التوظيف الإجباري'!J35+'ت,إ المحكوم بإقرارها'!G35+'تعديل قرارات تويف'!I34+'إلغاء قرارات تويف'!H35</f>
        <v>34049.082999999999</v>
      </c>
      <c r="M35" s="368">
        <f>'قرارات التوظيف الإجباري'!K35+'ت,إ المحكوم بإقرارها'!G35+'تعديل قرارات تويف'!J34</f>
        <v>14854.453</v>
      </c>
      <c r="N35" s="369">
        <f t="shared" si="4"/>
        <v>0.43626587535411748</v>
      </c>
      <c r="O35" s="62"/>
      <c r="S35" s="80"/>
      <c r="U35" s="62"/>
    </row>
    <row r="36" spans="2:62" ht="28.5" customHeight="1" thickBot="1">
      <c r="B36" s="213" t="s">
        <v>34</v>
      </c>
      <c r="C36" s="214">
        <f>SUM(C7:C35)</f>
        <v>1146</v>
      </c>
      <c r="D36" s="214">
        <f>SUM(D7:D35)</f>
        <v>455</v>
      </c>
      <c r="E36" s="236">
        <f>D36/C36</f>
        <v>0.39703315881326351</v>
      </c>
      <c r="F36" s="215">
        <f>SUM(F7:F35)</f>
        <v>206180110.70199999</v>
      </c>
      <c r="G36" s="215">
        <f>SUM(G7:G35)</f>
        <v>174109840.544</v>
      </c>
      <c r="H36" s="236">
        <f>G36/F36</f>
        <v>0.84445507353348748</v>
      </c>
      <c r="I36" s="214">
        <f>SUM(I7:I35)</f>
        <v>3847</v>
      </c>
      <c r="J36" s="214">
        <f>SUM(J7:J35)</f>
        <v>1064</v>
      </c>
      <c r="K36" s="236">
        <f>J36/I36</f>
        <v>0.27657915258643101</v>
      </c>
      <c r="L36" s="215">
        <f>SUM(L7:L35)</f>
        <v>279055332.87300003</v>
      </c>
      <c r="M36" s="215">
        <f>SUM(M7:M35)</f>
        <v>201695184.96000001</v>
      </c>
      <c r="N36" s="236">
        <f>M36/L36</f>
        <v>0.72277846434059323</v>
      </c>
      <c r="O36" s="62"/>
      <c r="S36" s="80"/>
      <c r="U36" s="62"/>
    </row>
    <row r="37" spans="2:62" s="85" customFormat="1" ht="15.75" customHeight="1" thickBot="1">
      <c r="B37" s="155"/>
      <c r="C37" s="422"/>
      <c r="D37" s="422"/>
      <c r="E37" s="422"/>
      <c r="F37" s="422"/>
      <c r="G37" s="422"/>
      <c r="H37" s="83"/>
      <c r="I37" s="83"/>
      <c r="J37" s="84"/>
      <c r="K37" s="83"/>
      <c r="L37" s="83"/>
      <c r="M37" s="83"/>
      <c r="N37" s="211"/>
      <c r="O37" s="84"/>
      <c r="T37" s="86"/>
      <c r="U37" s="86"/>
      <c r="V37" s="87"/>
    </row>
    <row r="38" spans="2:62" ht="75" customHeight="1" thickBot="1">
      <c r="B38" s="197" t="s">
        <v>106</v>
      </c>
      <c r="C38" s="179"/>
      <c r="D38" s="179">
        <f>D36-'قرارات التوظيف الإجباري'!C36</f>
        <v>424</v>
      </c>
      <c r="E38" s="179">
        <f>E36-'قرارات التوظيف الإجباري'!D36</f>
        <v>0.3289012906813954</v>
      </c>
      <c r="F38" s="179">
        <f>F36-'قرارات التوظيف الإجباري'!E36</f>
        <v>199544401.70199999</v>
      </c>
      <c r="G38" s="179">
        <f>G36-'قرارات التوظيف الإجباري'!F36</f>
        <v>171625107.544</v>
      </c>
      <c r="H38" s="196">
        <f>G38/F38</f>
        <v>0.86008480358324102</v>
      </c>
      <c r="I38" s="179">
        <f>I36-'قرارات التوظيف الإجباري'!G36</f>
        <v>3846.6255512410203</v>
      </c>
      <c r="J38" s="221">
        <v>155</v>
      </c>
      <c r="K38" s="258">
        <v>0.10587431693989072</v>
      </c>
      <c r="L38" s="222">
        <v>17730996.392999999</v>
      </c>
      <c r="M38" s="222">
        <v>6635208.0839999998</v>
      </c>
      <c r="N38" s="258">
        <v>0.37421518435475554</v>
      </c>
      <c r="O38" s="258">
        <f>M38/L38</f>
        <v>0.37421518435475554</v>
      </c>
    </row>
    <row r="39" spans="2:62" ht="39.75" customHeight="1" thickTop="1" thickBot="1">
      <c r="J39" s="221">
        <f>J36-J38</f>
        <v>909</v>
      </c>
      <c r="K39" s="258">
        <f t="shared" ref="K39:N39" si="5">K36-K38</f>
        <v>0.17070483564654029</v>
      </c>
      <c r="L39" s="222">
        <f t="shared" si="5"/>
        <v>261324336.48000002</v>
      </c>
      <c r="M39" s="222">
        <f t="shared" si="5"/>
        <v>195059976.87600002</v>
      </c>
      <c r="N39" s="258">
        <f t="shared" si="5"/>
        <v>0.34856327998583769</v>
      </c>
      <c r="O39" s="280">
        <f>M39/L39</f>
        <v>0.74642866984158052</v>
      </c>
      <c r="P39" s="81"/>
      <c r="Q39" s="81"/>
      <c r="R39" s="81"/>
      <c r="S39" s="81"/>
      <c r="T39" s="88"/>
      <c r="U39" s="88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</row>
    <row r="40" spans="2:62" s="77" customFormat="1" ht="90" customHeight="1">
      <c r="J40" s="77">
        <v>488</v>
      </c>
      <c r="S40" s="80"/>
      <c r="T40" s="80"/>
    </row>
    <row r="41" spans="2:62" s="77" customFormat="1" ht="149.25" customHeight="1" thickBot="1">
      <c r="J41" s="77">
        <v>166</v>
      </c>
      <c r="L41" s="77">
        <v>655</v>
      </c>
      <c r="S41" s="80"/>
      <c r="T41" s="80"/>
    </row>
    <row r="42" spans="2:62" ht="80.099999999999994" customHeight="1" thickTop="1">
      <c r="J42" s="75">
        <v>6.55</v>
      </c>
      <c r="P42" s="62">
        <v>1000000</v>
      </c>
      <c r="Q42" s="110">
        <v>0</v>
      </c>
      <c r="R42" s="110">
        <v>0</v>
      </c>
      <c r="S42" s="80">
        <f>Q42*P42</f>
        <v>0</v>
      </c>
      <c r="T42" s="80">
        <f>R42*P42</f>
        <v>0</v>
      </c>
      <c r="U42" s="62"/>
    </row>
    <row r="43" spans="2:62" ht="80.099999999999994" customHeight="1">
      <c r="P43" s="62">
        <v>1000000</v>
      </c>
      <c r="Q43" s="108">
        <v>0.108</v>
      </c>
      <c r="R43" s="108">
        <v>7.5999999999999998E-2</v>
      </c>
      <c r="S43" s="80">
        <f t="shared" ref="S43:S70" si="6">Q43*P43</f>
        <v>108000</v>
      </c>
      <c r="T43" s="80">
        <f t="shared" ref="T43:T70" si="7">R43*P43</f>
        <v>76000</v>
      </c>
      <c r="U43" s="62"/>
    </row>
    <row r="44" spans="2:62" ht="80.099999999999994" customHeight="1">
      <c r="P44" s="62">
        <v>1000000</v>
      </c>
      <c r="Q44" s="108">
        <v>0</v>
      </c>
      <c r="R44" s="108">
        <v>0</v>
      </c>
      <c r="S44" s="80">
        <f t="shared" si="6"/>
        <v>0</v>
      </c>
      <c r="T44" s="80">
        <f t="shared" si="7"/>
        <v>0</v>
      </c>
      <c r="U44" s="62"/>
    </row>
    <row r="45" spans="2:62" ht="80.099999999999994" customHeight="1">
      <c r="P45" s="62">
        <v>1000000</v>
      </c>
      <c r="Q45" s="108">
        <v>0.14799999999999999</v>
      </c>
      <c r="R45" s="108">
        <v>7.5999999999999998E-2</v>
      </c>
      <c r="S45" s="80">
        <f t="shared" si="6"/>
        <v>148000</v>
      </c>
      <c r="T45" s="80">
        <f t="shared" si="7"/>
        <v>76000</v>
      </c>
      <c r="U45" s="62"/>
    </row>
    <row r="46" spans="2:62" ht="80.099999999999994" customHeight="1">
      <c r="P46" s="62">
        <v>1000000</v>
      </c>
      <c r="Q46" s="108">
        <v>2.9000000000000001E-2</v>
      </c>
      <c r="R46" s="108">
        <v>1.0999999999999999E-2</v>
      </c>
      <c r="S46" s="80">
        <f t="shared" si="6"/>
        <v>29000</v>
      </c>
      <c r="T46" s="80">
        <f t="shared" si="7"/>
        <v>11000</v>
      </c>
      <c r="U46" s="62"/>
    </row>
    <row r="47" spans="2:62" ht="80.099999999999994" customHeight="1">
      <c r="P47" s="62">
        <v>1000000</v>
      </c>
      <c r="Q47" s="108">
        <v>0</v>
      </c>
      <c r="R47" s="108">
        <v>0</v>
      </c>
      <c r="S47" s="80">
        <f t="shared" si="6"/>
        <v>0</v>
      </c>
      <c r="T47" s="80">
        <f t="shared" si="7"/>
        <v>0</v>
      </c>
      <c r="U47" s="62"/>
    </row>
    <row r="48" spans="2:62" ht="80.099999999999994" customHeight="1">
      <c r="P48" s="62">
        <v>1000000</v>
      </c>
      <c r="Q48" s="108">
        <v>0.115</v>
      </c>
      <c r="R48" s="108">
        <v>5.5E-2</v>
      </c>
      <c r="S48" s="80">
        <f t="shared" si="6"/>
        <v>115000</v>
      </c>
      <c r="T48" s="80">
        <f t="shared" si="7"/>
        <v>55000</v>
      </c>
      <c r="U48" s="62"/>
    </row>
    <row r="49" spans="16:21" ht="80.099999999999994" customHeight="1">
      <c r="P49" s="62">
        <v>1000000</v>
      </c>
      <c r="Q49" s="108">
        <v>0.35599999999999998</v>
      </c>
      <c r="R49" s="108">
        <v>0.3</v>
      </c>
      <c r="S49" s="80">
        <f t="shared" si="6"/>
        <v>356000</v>
      </c>
      <c r="T49" s="80">
        <f t="shared" si="7"/>
        <v>300000</v>
      </c>
      <c r="U49" s="62"/>
    </row>
    <row r="50" spans="16:21" ht="80.099999999999994" customHeight="1">
      <c r="P50" s="62">
        <v>1000000</v>
      </c>
      <c r="Q50" s="108"/>
      <c r="R50" s="108"/>
      <c r="S50" s="80">
        <f t="shared" si="6"/>
        <v>0</v>
      </c>
      <c r="T50" s="80">
        <f t="shared" si="7"/>
        <v>0</v>
      </c>
      <c r="U50" s="62"/>
    </row>
    <row r="51" spans="16:21" ht="80.099999999999994" customHeight="1">
      <c r="P51" s="62">
        <v>1000000</v>
      </c>
      <c r="Q51" s="108">
        <v>0.56499999999999995</v>
      </c>
      <c r="R51" s="108">
        <v>0.55800000000000005</v>
      </c>
      <c r="S51" s="80">
        <f t="shared" si="6"/>
        <v>565000</v>
      </c>
      <c r="T51" s="80">
        <f t="shared" si="7"/>
        <v>558000</v>
      </c>
      <c r="U51" s="62"/>
    </row>
    <row r="52" spans="16:21" ht="80.099999999999994" customHeight="1">
      <c r="P52" s="62">
        <v>1000000</v>
      </c>
      <c r="Q52" s="108">
        <v>0.90300000000000002</v>
      </c>
      <c r="R52" s="108">
        <v>0.45600000000000002</v>
      </c>
      <c r="S52" s="80">
        <f t="shared" si="6"/>
        <v>903000</v>
      </c>
      <c r="T52" s="80">
        <f t="shared" si="7"/>
        <v>456000</v>
      </c>
      <c r="U52" s="62"/>
    </row>
    <row r="53" spans="16:21" ht="80.099999999999994" customHeight="1">
      <c r="P53" s="62">
        <v>1000000</v>
      </c>
      <c r="Q53" s="108">
        <v>0</v>
      </c>
      <c r="R53" s="108">
        <v>0</v>
      </c>
      <c r="S53" s="80">
        <f t="shared" si="6"/>
        <v>0</v>
      </c>
      <c r="T53" s="80">
        <f t="shared" si="7"/>
        <v>0</v>
      </c>
      <c r="U53" s="62"/>
    </row>
    <row r="54" spans="16:21" ht="80.099999999999994" customHeight="1">
      <c r="P54" s="62">
        <v>1000000</v>
      </c>
      <c r="Q54" s="108">
        <v>0</v>
      </c>
      <c r="R54" s="108">
        <v>0</v>
      </c>
      <c r="S54" s="80">
        <f t="shared" si="6"/>
        <v>0</v>
      </c>
      <c r="T54" s="80">
        <f t="shared" si="7"/>
        <v>0</v>
      </c>
      <c r="U54" s="62"/>
    </row>
    <row r="55" spans="16:21" ht="80.099999999999994" customHeight="1">
      <c r="P55" s="62">
        <v>1000000</v>
      </c>
      <c r="Q55" s="108">
        <v>0.23300000000000001</v>
      </c>
      <c r="R55" s="108">
        <v>0.12</v>
      </c>
      <c r="S55" s="80">
        <f t="shared" si="6"/>
        <v>233000</v>
      </c>
      <c r="T55" s="80">
        <f t="shared" si="7"/>
        <v>120000</v>
      </c>
      <c r="U55" s="62"/>
    </row>
    <row r="56" spans="16:21" ht="80.099999999999994" customHeight="1">
      <c r="P56" s="62">
        <v>1000000</v>
      </c>
      <c r="Q56" s="108">
        <v>0.13500000000000001</v>
      </c>
      <c r="R56" s="108">
        <v>4.7E-2</v>
      </c>
      <c r="S56" s="80">
        <f t="shared" si="6"/>
        <v>135000</v>
      </c>
      <c r="T56" s="80">
        <f t="shared" si="7"/>
        <v>47000</v>
      </c>
      <c r="U56" s="62"/>
    </row>
    <row r="57" spans="16:21" ht="80.099999999999994" customHeight="1">
      <c r="P57" s="62">
        <v>1000000</v>
      </c>
      <c r="Q57" s="108">
        <v>8.6999999999999994E-2</v>
      </c>
      <c r="R57" s="108">
        <v>3.5999999999999997E-2</v>
      </c>
      <c r="S57" s="80">
        <f t="shared" si="6"/>
        <v>87000</v>
      </c>
      <c r="T57" s="80">
        <f t="shared" si="7"/>
        <v>36000</v>
      </c>
      <c r="U57" s="62"/>
    </row>
    <row r="58" spans="16:21" ht="80.099999999999994" customHeight="1">
      <c r="P58" s="62">
        <v>1000000</v>
      </c>
      <c r="Q58" s="108">
        <v>0.218</v>
      </c>
      <c r="R58" s="108">
        <v>0.124</v>
      </c>
      <c r="S58" s="80">
        <f t="shared" si="6"/>
        <v>218000</v>
      </c>
      <c r="T58" s="80">
        <f t="shared" si="7"/>
        <v>124000</v>
      </c>
      <c r="U58" s="62"/>
    </row>
    <row r="59" spans="16:21" ht="80.099999999999994" customHeight="1">
      <c r="P59" s="62">
        <v>1000000</v>
      </c>
      <c r="Q59" s="108">
        <v>0</v>
      </c>
      <c r="R59" s="108">
        <v>0</v>
      </c>
      <c r="S59" s="80">
        <f t="shared" si="6"/>
        <v>0</v>
      </c>
      <c r="T59" s="80">
        <f t="shared" si="7"/>
        <v>0</v>
      </c>
      <c r="U59" s="62"/>
    </row>
    <row r="60" spans="16:21" ht="80.099999999999994" customHeight="1">
      <c r="P60" s="62">
        <v>1000000</v>
      </c>
      <c r="Q60" s="108">
        <v>0</v>
      </c>
      <c r="R60" s="108">
        <v>0</v>
      </c>
      <c r="S60" s="80">
        <f t="shared" si="6"/>
        <v>0</v>
      </c>
      <c r="T60" s="80">
        <f t="shared" si="7"/>
        <v>0</v>
      </c>
      <c r="U60" s="62"/>
    </row>
    <row r="61" spans="16:21" ht="80.099999999999994" customHeight="1">
      <c r="P61" s="62">
        <v>1000000</v>
      </c>
      <c r="Q61" s="108">
        <v>0</v>
      </c>
      <c r="R61" s="108">
        <v>0</v>
      </c>
      <c r="S61" s="80">
        <f t="shared" si="6"/>
        <v>0</v>
      </c>
      <c r="T61" s="80">
        <f t="shared" si="7"/>
        <v>0</v>
      </c>
      <c r="U61" s="62"/>
    </row>
    <row r="62" spans="16:21" ht="80.099999999999994" customHeight="1">
      <c r="P62" s="62">
        <v>1000000</v>
      </c>
      <c r="Q62" s="108">
        <v>0</v>
      </c>
      <c r="R62" s="108">
        <v>0</v>
      </c>
      <c r="S62" s="80">
        <f t="shared" si="6"/>
        <v>0</v>
      </c>
      <c r="T62" s="80">
        <f t="shared" si="7"/>
        <v>0</v>
      </c>
      <c r="U62" s="62"/>
    </row>
    <row r="63" spans="16:21" ht="80.099999999999994" customHeight="1">
      <c r="P63" s="62">
        <v>1000000</v>
      </c>
      <c r="Q63" s="108">
        <v>2.8930000000000001E-2</v>
      </c>
      <c r="R63" s="108">
        <v>1.4324999999999999E-2</v>
      </c>
      <c r="S63" s="80">
        <f t="shared" si="6"/>
        <v>28930</v>
      </c>
      <c r="T63" s="80">
        <f t="shared" si="7"/>
        <v>14325</v>
      </c>
      <c r="U63" s="62"/>
    </row>
    <row r="64" spans="16:21" ht="80.099999999999994" customHeight="1">
      <c r="P64" s="62">
        <v>1000000</v>
      </c>
      <c r="Q64" s="108">
        <v>0</v>
      </c>
      <c r="R64" s="108">
        <v>0</v>
      </c>
      <c r="S64" s="80">
        <f t="shared" si="6"/>
        <v>0</v>
      </c>
      <c r="T64" s="80">
        <f t="shared" si="7"/>
        <v>0</v>
      </c>
      <c r="U64" s="62"/>
    </row>
    <row r="65" spans="2:30" ht="80.099999999999994" customHeight="1">
      <c r="P65" s="62">
        <v>1000000</v>
      </c>
      <c r="Q65" s="108">
        <v>7.1999999999999995E-2</v>
      </c>
      <c r="R65" s="108">
        <v>1.4999999999999999E-2</v>
      </c>
      <c r="S65" s="80">
        <f t="shared" si="6"/>
        <v>72000</v>
      </c>
      <c r="T65" s="80">
        <f t="shared" si="7"/>
        <v>15000</v>
      </c>
      <c r="U65" s="62"/>
    </row>
    <row r="66" spans="2:30" ht="80.099999999999994" customHeight="1">
      <c r="P66" s="62">
        <v>1000000</v>
      </c>
      <c r="Q66" s="108">
        <v>0</v>
      </c>
      <c r="R66" s="108">
        <v>0</v>
      </c>
      <c r="S66" s="80">
        <f t="shared" si="6"/>
        <v>0</v>
      </c>
      <c r="T66" s="80">
        <f t="shared" si="7"/>
        <v>0</v>
      </c>
      <c r="U66" s="62"/>
    </row>
    <row r="67" spans="2:30" ht="80.099999999999994" customHeight="1">
      <c r="P67" s="62">
        <v>1000000</v>
      </c>
      <c r="Q67" s="108">
        <v>0</v>
      </c>
      <c r="R67" s="108">
        <v>0</v>
      </c>
      <c r="S67" s="80">
        <f t="shared" si="6"/>
        <v>0</v>
      </c>
      <c r="T67" s="80">
        <f t="shared" si="7"/>
        <v>0</v>
      </c>
      <c r="U67" s="62"/>
    </row>
    <row r="68" spans="2:30" ht="80.099999999999994" customHeight="1">
      <c r="P68" s="62">
        <v>1000000</v>
      </c>
      <c r="Q68" s="108">
        <v>0</v>
      </c>
      <c r="R68" s="108">
        <v>0</v>
      </c>
      <c r="S68" s="80">
        <f t="shared" si="6"/>
        <v>0</v>
      </c>
      <c r="T68" s="80">
        <f t="shared" si="7"/>
        <v>0</v>
      </c>
      <c r="U68" s="62"/>
    </row>
    <row r="69" spans="2:30" ht="80.099999999999994" customHeight="1">
      <c r="P69" s="62">
        <v>1000000</v>
      </c>
      <c r="Q69" s="108">
        <v>3.0779999999999998</v>
      </c>
      <c r="R69" s="108">
        <v>2.5630000000000002</v>
      </c>
      <c r="S69" s="114">
        <f t="shared" si="6"/>
        <v>3078000</v>
      </c>
      <c r="T69" s="80">
        <f t="shared" si="7"/>
        <v>2563000</v>
      </c>
      <c r="U69" s="62"/>
    </row>
    <row r="70" spans="2:30" ht="109.5" customHeight="1" thickBot="1">
      <c r="P70" s="62">
        <v>1000000</v>
      </c>
      <c r="Q70" s="44">
        <v>0</v>
      </c>
      <c r="R70" s="44">
        <v>0</v>
      </c>
      <c r="S70" s="80">
        <f t="shared" si="6"/>
        <v>0</v>
      </c>
      <c r="T70" s="80">
        <f t="shared" si="7"/>
        <v>0</v>
      </c>
      <c r="U70" s="62"/>
    </row>
    <row r="71" spans="2:30" ht="80.099999999999994" customHeight="1" thickTop="1" thickBot="1">
      <c r="S71" s="80"/>
      <c r="U71" s="62"/>
    </row>
    <row r="72" spans="2:30" ht="45.75" customHeight="1" thickTop="1">
      <c r="B72" s="89"/>
      <c r="C72" s="89"/>
      <c r="D72" s="90"/>
      <c r="E72" s="91"/>
      <c r="F72" s="91"/>
      <c r="G72" s="92"/>
      <c r="H72" s="92"/>
      <c r="I72" s="92"/>
      <c r="J72" s="93"/>
      <c r="K72" s="90"/>
      <c r="L72" s="91"/>
      <c r="M72" s="92"/>
      <c r="N72" s="92"/>
      <c r="O72" s="93"/>
      <c r="P72" s="81"/>
      <c r="Q72" s="81"/>
      <c r="R72" s="81"/>
      <c r="S72" s="81"/>
      <c r="T72" s="88"/>
      <c r="U72" s="88"/>
      <c r="V72" s="81"/>
      <c r="W72" s="81"/>
      <c r="X72" s="81"/>
      <c r="Y72" s="81"/>
      <c r="Z72" s="81"/>
      <c r="AA72" s="81"/>
      <c r="AB72" s="81"/>
      <c r="AC72" s="81"/>
      <c r="AD72" s="81"/>
    </row>
    <row r="73" spans="2:30" s="96" customFormat="1" ht="44.25" customHeight="1">
      <c r="B73" s="3" t="s">
        <v>36</v>
      </c>
      <c r="C73" s="3"/>
      <c r="D73" s="416" t="s">
        <v>38</v>
      </c>
      <c r="E73" s="416"/>
      <c r="F73" s="416"/>
      <c r="G73" s="416"/>
      <c r="H73" s="416"/>
      <c r="I73" s="416"/>
      <c r="J73" s="416"/>
      <c r="K73" s="416"/>
      <c r="L73" s="416"/>
      <c r="M73" s="416"/>
      <c r="N73" s="416"/>
      <c r="O73" s="416"/>
      <c r="P73" s="94"/>
      <c r="Q73" s="94"/>
      <c r="R73" s="94"/>
      <c r="S73" s="94"/>
      <c r="T73" s="95"/>
      <c r="U73" s="95"/>
      <c r="V73" s="94"/>
      <c r="W73" s="94"/>
      <c r="X73" s="94"/>
      <c r="Y73" s="94"/>
      <c r="Z73" s="94"/>
      <c r="AA73" s="94"/>
      <c r="AB73" s="94"/>
      <c r="AC73" s="94"/>
      <c r="AD73" s="94"/>
    </row>
    <row r="74" spans="2:30" ht="35.1" customHeight="1">
      <c r="B74" s="2"/>
      <c r="C74" s="2"/>
      <c r="D74" s="97"/>
      <c r="E74" s="97"/>
      <c r="F74" s="97"/>
      <c r="G74" s="98"/>
      <c r="H74" s="98"/>
      <c r="I74" s="98"/>
      <c r="J74" s="99"/>
      <c r="K74" s="97"/>
      <c r="L74" s="97"/>
      <c r="M74" s="98"/>
      <c r="N74" s="98"/>
      <c r="O74" s="99"/>
    </row>
    <row r="75" spans="2:30" ht="35.1" customHeight="1">
      <c r="N75" s="98"/>
      <c r="O75" s="100"/>
    </row>
    <row r="76" spans="2:30" ht="47.25" customHeight="1">
      <c r="N76" s="98"/>
      <c r="O76" s="99"/>
    </row>
    <row r="77" spans="2:30" ht="35.1" customHeight="1">
      <c r="N77" s="98"/>
      <c r="O77" s="99"/>
    </row>
    <row r="78" spans="2:30" ht="35.1" customHeight="1">
      <c r="N78" s="82"/>
      <c r="O78" s="99"/>
      <c r="P78" s="81"/>
    </row>
    <row r="79" spans="2:30" s="77" customFormat="1" ht="90" customHeight="1">
      <c r="S79" s="80"/>
      <c r="T79" s="80"/>
    </row>
    <row r="80" spans="2:30" s="77" customFormat="1" ht="149.25" customHeight="1" thickBot="1">
      <c r="O80" s="80"/>
      <c r="P80" s="80"/>
    </row>
    <row r="81" spans="16:20" s="77" customFormat="1" ht="83.1" customHeight="1" thickTop="1">
      <c r="P81" s="80"/>
      <c r="Q81" s="80">
        <v>1000000</v>
      </c>
      <c r="R81" s="427">
        <v>2.024</v>
      </c>
      <c r="S81" s="428"/>
      <c r="T81" s="77">
        <f>R81*Q81</f>
        <v>2024000</v>
      </c>
    </row>
    <row r="82" spans="16:20" s="77" customFormat="1" ht="83.1" customHeight="1">
      <c r="P82" s="80"/>
      <c r="Q82" s="80">
        <v>1000000</v>
      </c>
      <c r="R82" s="412">
        <v>0.44500000000000001</v>
      </c>
      <c r="S82" s="413"/>
      <c r="T82" s="77">
        <f t="shared" ref="T82:T109" si="8">R82*Q82</f>
        <v>445000</v>
      </c>
    </row>
    <row r="83" spans="16:20" s="77" customFormat="1" ht="83.1" customHeight="1">
      <c r="P83" s="80"/>
      <c r="Q83" s="80">
        <v>1000000</v>
      </c>
      <c r="R83" s="412">
        <v>2.3E-2</v>
      </c>
      <c r="S83" s="413"/>
      <c r="T83" s="77">
        <f t="shared" si="8"/>
        <v>23000</v>
      </c>
    </row>
    <row r="84" spans="16:20" s="77" customFormat="1" ht="83.1" customHeight="1">
      <c r="P84" s="80"/>
      <c r="Q84" s="80">
        <v>1000000</v>
      </c>
      <c r="R84" s="412">
        <v>0.29499999999999998</v>
      </c>
      <c r="S84" s="413"/>
      <c r="T84" s="77">
        <f t="shared" si="8"/>
        <v>295000</v>
      </c>
    </row>
    <row r="85" spans="16:20" s="77" customFormat="1" ht="83.1" customHeight="1">
      <c r="P85" s="80"/>
      <c r="Q85" s="80">
        <v>1000000</v>
      </c>
      <c r="R85" s="412">
        <v>1.0609999999999999</v>
      </c>
      <c r="S85" s="413"/>
      <c r="T85" s="77">
        <f t="shared" si="8"/>
        <v>1061000</v>
      </c>
    </row>
    <row r="86" spans="16:20" s="77" customFormat="1" ht="83.1" customHeight="1">
      <c r="P86" s="80"/>
      <c r="Q86" s="80">
        <v>1000000</v>
      </c>
      <c r="R86" s="412">
        <v>6.5979999999999999</v>
      </c>
      <c r="S86" s="413"/>
      <c r="T86" s="77">
        <f t="shared" si="8"/>
        <v>6598000</v>
      </c>
    </row>
    <row r="87" spans="16:20" s="77" customFormat="1" ht="83.1" customHeight="1">
      <c r="P87" s="80"/>
      <c r="Q87" s="80">
        <v>1000000</v>
      </c>
      <c r="R87" s="412">
        <v>3.137</v>
      </c>
      <c r="S87" s="413"/>
      <c r="T87" s="77">
        <f t="shared" si="8"/>
        <v>3137000</v>
      </c>
    </row>
    <row r="88" spans="16:20" s="77" customFormat="1" ht="83.1" customHeight="1">
      <c r="P88" s="80"/>
      <c r="Q88" s="80">
        <v>1000000</v>
      </c>
      <c r="R88" s="412">
        <v>0.26200000000000001</v>
      </c>
      <c r="S88" s="413"/>
      <c r="T88" s="77">
        <f t="shared" si="8"/>
        <v>262000</v>
      </c>
    </row>
    <row r="89" spans="16:20" s="77" customFormat="1" ht="83.1" customHeight="1">
      <c r="P89" s="80"/>
      <c r="Q89" s="80">
        <v>1000000</v>
      </c>
      <c r="R89" s="111"/>
      <c r="S89" s="112"/>
      <c r="T89" s="77">
        <f t="shared" si="8"/>
        <v>0</v>
      </c>
    </row>
    <row r="90" spans="16:20" s="77" customFormat="1" ht="83.1" customHeight="1">
      <c r="P90" s="80"/>
      <c r="Q90" s="80">
        <v>1000000</v>
      </c>
      <c r="R90" s="412">
        <v>1.087</v>
      </c>
      <c r="S90" s="413"/>
      <c r="T90" s="77">
        <f t="shared" si="8"/>
        <v>1087000</v>
      </c>
    </row>
    <row r="91" spans="16:20" s="77" customFormat="1" ht="83.1" customHeight="1">
      <c r="P91" s="80"/>
      <c r="Q91" s="80">
        <v>1000000</v>
      </c>
      <c r="R91" s="412">
        <v>0.109</v>
      </c>
      <c r="S91" s="413"/>
      <c r="T91" s="77">
        <f t="shared" si="8"/>
        <v>109000</v>
      </c>
    </row>
    <row r="92" spans="16:20" s="77" customFormat="1" ht="83.1" customHeight="1">
      <c r="P92" s="80"/>
      <c r="Q92" s="80">
        <v>1000000</v>
      </c>
      <c r="R92" s="412">
        <v>0.44629999999999997</v>
      </c>
      <c r="S92" s="413"/>
      <c r="T92" s="77">
        <f t="shared" si="8"/>
        <v>446300</v>
      </c>
    </row>
    <row r="93" spans="16:20" s="77" customFormat="1" ht="83.1" customHeight="1">
      <c r="P93" s="80"/>
      <c r="Q93" s="80">
        <v>1000000</v>
      </c>
      <c r="R93" s="412">
        <v>0.56299999999999994</v>
      </c>
      <c r="S93" s="413"/>
      <c r="T93" s="77">
        <f t="shared" si="8"/>
        <v>563000</v>
      </c>
    </row>
    <row r="94" spans="16:20" s="77" customFormat="1" ht="83.1" customHeight="1">
      <c r="P94" s="80"/>
      <c r="Q94" s="80">
        <v>1000000</v>
      </c>
      <c r="R94" s="412">
        <v>0.28699999999999998</v>
      </c>
      <c r="S94" s="413"/>
      <c r="T94" s="77">
        <f t="shared" si="8"/>
        <v>287000</v>
      </c>
    </row>
    <row r="95" spans="16:20" s="77" customFormat="1" ht="83.1" customHeight="1">
      <c r="P95" s="80"/>
      <c r="Q95" s="80">
        <v>1000000</v>
      </c>
      <c r="R95" s="412">
        <v>0.77500000000000002</v>
      </c>
      <c r="S95" s="413"/>
      <c r="T95" s="77">
        <f t="shared" si="8"/>
        <v>775000</v>
      </c>
    </row>
    <row r="96" spans="16:20" s="77" customFormat="1" ht="83.1" customHeight="1">
      <c r="P96" s="80"/>
      <c r="Q96" s="80">
        <v>1000000</v>
      </c>
      <c r="R96" s="412">
        <v>0.59399999999999997</v>
      </c>
      <c r="S96" s="413"/>
      <c r="T96" s="77">
        <f t="shared" si="8"/>
        <v>594000</v>
      </c>
    </row>
    <row r="97" spans="14:21" s="77" customFormat="1" ht="83.1" customHeight="1">
      <c r="P97" s="80"/>
      <c r="Q97" s="80">
        <v>1000000</v>
      </c>
      <c r="R97" s="412">
        <v>3.1E-2</v>
      </c>
      <c r="S97" s="413"/>
      <c r="T97" s="77">
        <f t="shared" si="8"/>
        <v>31000</v>
      </c>
    </row>
    <row r="98" spans="14:21" s="77" customFormat="1" ht="83.1" customHeight="1">
      <c r="P98" s="80"/>
      <c r="Q98" s="80">
        <v>1000000</v>
      </c>
      <c r="R98" s="412">
        <v>0</v>
      </c>
      <c r="S98" s="413"/>
      <c r="T98" s="77">
        <f t="shared" si="8"/>
        <v>0</v>
      </c>
    </row>
    <row r="99" spans="14:21" s="77" customFormat="1" ht="83.1" customHeight="1">
      <c r="P99" s="80"/>
      <c r="Q99" s="80">
        <v>1000000</v>
      </c>
      <c r="R99" s="412">
        <v>0.20699999999999999</v>
      </c>
      <c r="S99" s="413"/>
      <c r="T99" s="77">
        <f t="shared" si="8"/>
        <v>207000</v>
      </c>
    </row>
    <row r="100" spans="14:21" s="77" customFormat="1" ht="83.1" customHeight="1">
      <c r="P100" s="80"/>
      <c r="Q100" s="80">
        <v>1000000</v>
      </c>
      <c r="R100" s="412">
        <v>9.2999999999999999E-2</v>
      </c>
      <c r="S100" s="413"/>
      <c r="T100" s="77">
        <f t="shared" si="8"/>
        <v>93000</v>
      </c>
    </row>
    <row r="101" spans="14:21" s="77" customFormat="1" ht="83.1" customHeight="1">
      <c r="P101" s="80"/>
      <c r="Q101" s="80">
        <v>1000000</v>
      </c>
      <c r="R101" s="412">
        <v>5.3999999999999999E-2</v>
      </c>
      <c r="S101" s="413"/>
      <c r="T101" s="77">
        <f t="shared" si="8"/>
        <v>54000</v>
      </c>
    </row>
    <row r="102" spans="14:21" s="77" customFormat="1" ht="83.1" customHeight="1">
      <c r="P102" s="80"/>
      <c r="Q102" s="80">
        <v>1000000</v>
      </c>
      <c r="R102" s="412">
        <v>0.14122399999999999</v>
      </c>
      <c r="S102" s="413"/>
      <c r="T102" s="77">
        <f t="shared" si="8"/>
        <v>141224</v>
      </c>
    </row>
    <row r="103" spans="14:21" s="77" customFormat="1" ht="83.1" customHeight="1">
      <c r="P103" s="80"/>
      <c r="Q103" s="80">
        <v>1000000</v>
      </c>
      <c r="R103" s="412">
        <v>0</v>
      </c>
      <c r="S103" s="413"/>
      <c r="T103" s="77">
        <f t="shared" si="8"/>
        <v>0</v>
      </c>
    </row>
    <row r="104" spans="14:21" s="77" customFormat="1" ht="83.1" customHeight="1">
      <c r="P104" s="80"/>
      <c r="Q104" s="80">
        <v>1000000</v>
      </c>
      <c r="R104" s="412">
        <v>5.2999999999999999E-2</v>
      </c>
      <c r="S104" s="413"/>
      <c r="T104" s="77">
        <f t="shared" si="8"/>
        <v>53000</v>
      </c>
    </row>
    <row r="105" spans="14:21" s="77" customFormat="1" ht="83.1" customHeight="1">
      <c r="P105" s="80"/>
      <c r="Q105" s="80">
        <v>1000000</v>
      </c>
      <c r="R105" s="412">
        <v>0</v>
      </c>
      <c r="S105" s="413"/>
      <c r="T105" s="77">
        <f t="shared" si="8"/>
        <v>0</v>
      </c>
    </row>
    <row r="106" spans="14:21" s="77" customFormat="1" ht="83.1" customHeight="1">
      <c r="P106" s="80"/>
      <c r="Q106" s="80">
        <v>1000000</v>
      </c>
      <c r="R106" s="412">
        <v>6.0999999999999999E-2</v>
      </c>
      <c r="S106" s="413"/>
      <c r="T106" s="77">
        <f t="shared" si="8"/>
        <v>61000</v>
      </c>
    </row>
    <row r="107" spans="14:21" s="77" customFormat="1" ht="83.1" customHeight="1">
      <c r="P107" s="80"/>
      <c r="Q107" s="80">
        <v>1000000</v>
      </c>
      <c r="R107" s="412"/>
      <c r="S107" s="413"/>
      <c r="T107" s="77">
        <f t="shared" si="8"/>
        <v>0</v>
      </c>
    </row>
    <row r="108" spans="14:21" s="77" customFormat="1" ht="83.1" customHeight="1">
      <c r="P108" s="80"/>
      <c r="Q108" s="80">
        <v>1000000</v>
      </c>
      <c r="R108" s="412">
        <v>13.448</v>
      </c>
      <c r="S108" s="413"/>
      <c r="T108" s="77">
        <f t="shared" si="8"/>
        <v>13448000</v>
      </c>
    </row>
    <row r="109" spans="14:21" s="77" customFormat="1" ht="109.5" customHeight="1" thickBot="1">
      <c r="P109" s="80"/>
      <c r="Q109" s="80">
        <v>1000000</v>
      </c>
      <c r="R109" s="423">
        <v>0</v>
      </c>
      <c r="S109" s="424"/>
      <c r="T109" s="77">
        <f t="shared" si="8"/>
        <v>0</v>
      </c>
    </row>
    <row r="110" spans="14:21" s="77" customFormat="1" ht="83.1" customHeight="1" thickTop="1">
      <c r="P110" s="80"/>
      <c r="Q110" s="80"/>
    </row>
    <row r="111" spans="14:21" s="77" customFormat="1" ht="51.95" customHeight="1">
      <c r="N111" s="98"/>
      <c r="O111" s="99"/>
      <c r="T111" s="80"/>
      <c r="U111" s="80"/>
    </row>
    <row r="112" spans="14:21" s="77" customFormat="1" ht="59.25" customHeight="1">
      <c r="N112" s="101"/>
      <c r="O112" s="101"/>
      <c r="T112" s="80"/>
      <c r="U112" s="80"/>
    </row>
    <row r="113" spans="2:21" s="77" customFormat="1" ht="51.95" customHeight="1">
      <c r="B113" s="2"/>
      <c r="C113" s="2"/>
      <c r="D113" s="97"/>
      <c r="E113" s="97"/>
      <c r="F113" s="97"/>
      <c r="G113" s="98"/>
      <c r="H113" s="98"/>
      <c r="I113" s="98"/>
      <c r="J113" s="102"/>
      <c r="K113" s="97"/>
      <c r="L113" s="97"/>
      <c r="M113" s="98"/>
      <c r="N113" s="98"/>
      <c r="O113" s="99"/>
      <c r="T113" s="80"/>
      <c r="U113" s="80"/>
    </row>
    <row r="114" spans="2:21" s="77" customFormat="1" ht="57" customHeight="1">
      <c r="O114" s="102"/>
      <c r="T114" s="80"/>
      <c r="U114" s="80"/>
    </row>
    <row r="115" spans="2:21" s="77" customFormat="1" ht="35.1" customHeight="1">
      <c r="O115" s="99"/>
      <c r="T115" s="80"/>
      <c r="U115" s="80"/>
    </row>
    <row r="116" spans="2:21" s="77" customFormat="1" ht="35.1" customHeight="1">
      <c r="S116" s="80"/>
      <c r="T116" s="80"/>
    </row>
    <row r="117" spans="2:21" s="77" customFormat="1" ht="90" customHeight="1">
      <c r="S117" s="80"/>
      <c r="T117" s="80"/>
    </row>
    <row r="118" spans="2:21" s="77" customFormat="1" ht="161.25" customHeight="1" thickBot="1">
      <c r="S118" s="80"/>
      <c r="T118" s="80"/>
    </row>
    <row r="119" spans="2:21" s="77" customFormat="1" ht="83.1" customHeight="1" thickTop="1">
      <c r="Q119" s="77">
        <v>1000000</v>
      </c>
      <c r="R119" s="110">
        <v>3.266</v>
      </c>
      <c r="S119" s="110">
        <v>1.901</v>
      </c>
      <c r="T119" s="80">
        <f>R119*Q119</f>
        <v>3266000</v>
      </c>
      <c r="U119" s="77">
        <f>S119*Q119</f>
        <v>1901000</v>
      </c>
    </row>
    <row r="120" spans="2:21" s="77" customFormat="1" ht="83.1" customHeight="1">
      <c r="Q120" s="77">
        <v>1000000</v>
      </c>
      <c r="R120" s="108">
        <v>0.754</v>
      </c>
      <c r="S120" s="108">
        <v>0.23200000000000001</v>
      </c>
      <c r="T120" s="80">
        <f t="shared" ref="T120:T147" si="9">R120*Q120</f>
        <v>754000</v>
      </c>
      <c r="U120" s="77">
        <f t="shared" ref="U120:U147" si="10">S120*Q120</f>
        <v>232000</v>
      </c>
    </row>
    <row r="121" spans="2:21" s="77" customFormat="1" ht="83.1" customHeight="1">
      <c r="Q121" s="77">
        <v>1000000</v>
      </c>
      <c r="R121" s="113">
        <v>0.27100000000000002</v>
      </c>
      <c r="S121" s="113">
        <v>0.151</v>
      </c>
      <c r="T121" s="80">
        <f t="shared" si="9"/>
        <v>271000</v>
      </c>
      <c r="U121" s="77">
        <f t="shared" si="10"/>
        <v>151000</v>
      </c>
    </row>
    <row r="122" spans="2:21" s="77" customFormat="1" ht="83.1" customHeight="1">
      <c r="Q122" s="77">
        <v>1000000</v>
      </c>
      <c r="R122" s="108">
        <v>4.7990000000000004</v>
      </c>
      <c r="S122" s="108">
        <v>1.1990000000000001</v>
      </c>
      <c r="T122" s="80">
        <f t="shared" si="9"/>
        <v>4799000</v>
      </c>
      <c r="U122" s="77">
        <f t="shared" si="10"/>
        <v>1199000</v>
      </c>
    </row>
    <row r="123" spans="2:21" s="77" customFormat="1" ht="83.1" customHeight="1">
      <c r="Q123" s="77">
        <v>1000000</v>
      </c>
      <c r="R123" s="108">
        <v>2.8220000000000001</v>
      </c>
      <c r="S123" s="108">
        <v>1.304</v>
      </c>
      <c r="T123" s="80">
        <f t="shared" si="9"/>
        <v>2822000</v>
      </c>
      <c r="U123" s="77">
        <f t="shared" si="10"/>
        <v>1304000</v>
      </c>
    </row>
    <row r="124" spans="2:21" s="77" customFormat="1" ht="83.1" customHeight="1">
      <c r="Q124" s="77">
        <v>1000000</v>
      </c>
      <c r="R124" s="108">
        <v>3.0920000000000001</v>
      </c>
      <c r="S124" s="108">
        <v>0.58299999999999996</v>
      </c>
      <c r="T124" s="80">
        <f t="shared" si="9"/>
        <v>3092000</v>
      </c>
      <c r="U124" s="77">
        <f t="shared" si="10"/>
        <v>583000</v>
      </c>
    </row>
    <row r="125" spans="2:21" s="77" customFormat="1" ht="83.1" customHeight="1">
      <c r="Q125" s="77">
        <v>1000000</v>
      </c>
      <c r="R125" s="108">
        <v>3.1469999999999998</v>
      </c>
      <c r="S125" s="108">
        <v>0.95599999999999996</v>
      </c>
      <c r="T125" s="80">
        <f t="shared" si="9"/>
        <v>3147000</v>
      </c>
      <c r="U125" s="77">
        <f t="shared" si="10"/>
        <v>956000</v>
      </c>
    </row>
    <row r="126" spans="2:21" s="77" customFormat="1" ht="83.1" customHeight="1">
      <c r="Q126" s="77">
        <v>1000000</v>
      </c>
      <c r="R126" s="108">
        <v>0.753</v>
      </c>
      <c r="S126" s="108">
        <v>0.32100000000000001</v>
      </c>
      <c r="T126" s="80">
        <f t="shared" si="9"/>
        <v>753000</v>
      </c>
      <c r="U126" s="77">
        <f t="shared" si="10"/>
        <v>321000</v>
      </c>
    </row>
    <row r="127" spans="2:21" s="77" customFormat="1" ht="83.1" customHeight="1">
      <c r="Q127" s="77">
        <v>1000000</v>
      </c>
      <c r="R127" s="108"/>
      <c r="S127" s="108"/>
      <c r="T127" s="80">
        <f t="shared" si="9"/>
        <v>0</v>
      </c>
      <c r="U127" s="77">
        <f t="shared" si="10"/>
        <v>0</v>
      </c>
    </row>
    <row r="128" spans="2:21" s="77" customFormat="1" ht="83.1" customHeight="1">
      <c r="Q128" s="77">
        <v>1000000</v>
      </c>
      <c r="R128" s="108">
        <v>6.6390000000000002</v>
      </c>
      <c r="S128" s="108">
        <v>4.4379999999999997</v>
      </c>
      <c r="T128" s="80">
        <f t="shared" si="9"/>
        <v>6639000</v>
      </c>
      <c r="U128" s="77">
        <f t="shared" si="10"/>
        <v>4438000</v>
      </c>
    </row>
    <row r="129" spans="17:21" s="77" customFormat="1" ht="83.1" customHeight="1">
      <c r="Q129" s="77">
        <v>1000000</v>
      </c>
      <c r="R129" s="108">
        <v>0.75700000000000001</v>
      </c>
      <c r="S129" s="108">
        <v>0.03</v>
      </c>
      <c r="T129" s="80">
        <f t="shared" si="9"/>
        <v>757000</v>
      </c>
      <c r="U129" s="77">
        <f t="shared" si="10"/>
        <v>30000</v>
      </c>
    </row>
    <row r="130" spans="17:21" s="77" customFormat="1" ht="83.1" customHeight="1">
      <c r="Q130" s="77">
        <v>1000000</v>
      </c>
      <c r="R130" s="108">
        <v>2.3119000000000001</v>
      </c>
      <c r="S130" s="108">
        <v>0.83660000000000001</v>
      </c>
      <c r="T130" s="80">
        <f t="shared" si="9"/>
        <v>2311900</v>
      </c>
      <c r="U130" s="77">
        <f t="shared" si="10"/>
        <v>836600</v>
      </c>
    </row>
    <row r="131" spans="17:21" s="77" customFormat="1" ht="83.1" customHeight="1">
      <c r="Q131" s="77">
        <v>1000000</v>
      </c>
      <c r="R131" s="108">
        <v>0.28499999999999998</v>
      </c>
      <c r="S131" s="108">
        <v>6.3E-2</v>
      </c>
      <c r="T131" s="80">
        <f t="shared" si="9"/>
        <v>285000</v>
      </c>
      <c r="U131" s="77">
        <f t="shared" si="10"/>
        <v>63000</v>
      </c>
    </row>
    <row r="132" spans="17:21" s="77" customFormat="1" ht="83.1" customHeight="1">
      <c r="Q132" s="77">
        <v>1000000</v>
      </c>
      <c r="R132" s="108">
        <v>0.94599999999999995</v>
      </c>
      <c r="S132" s="108">
        <v>0.30299999999999999</v>
      </c>
      <c r="T132" s="80">
        <f t="shared" si="9"/>
        <v>946000</v>
      </c>
      <c r="U132" s="77">
        <f t="shared" si="10"/>
        <v>303000</v>
      </c>
    </row>
    <row r="133" spans="17:21" s="77" customFormat="1" ht="83.1" customHeight="1">
      <c r="Q133" s="77">
        <v>1000000</v>
      </c>
      <c r="R133" s="108">
        <v>6.6000000000000003E-2</v>
      </c>
      <c r="S133" s="108">
        <v>4.2000000000000003E-2</v>
      </c>
      <c r="T133" s="80">
        <f t="shared" si="9"/>
        <v>66000</v>
      </c>
      <c r="U133" s="77">
        <f t="shared" si="10"/>
        <v>42000</v>
      </c>
    </row>
    <row r="134" spans="17:21" s="77" customFormat="1" ht="83.1" customHeight="1">
      <c r="Q134" s="77">
        <v>1000000</v>
      </c>
      <c r="R134" s="108">
        <v>0.113</v>
      </c>
      <c r="S134" s="108">
        <v>0.03</v>
      </c>
      <c r="T134" s="80">
        <f t="shared" si="9"/>
        <v>113000</v>
      </c>
      <c r="U134" s="77">
        <f t="shared" si="10"/>
        <v>30000</v>
      </c>
    </row>
    <row r="135" spans="17:21" s="77" customFormat="1" ht="83.1" customHeight="1">
      <c r="Q135" s="77">
        <v>1000000</v>
      </c>
      <c r="R135" s="108">
        <v>6.7000000000000004E-2</v>
      </c>
      <c r="S135" s="108">
        <v>1.7999999999999999E-2</v>
      </c>
      <c r="T135" s="80">
        <f t="shared" si="9"/>
        <v>67000</v>
      </c>
      <c r="U135" s="77">
        <f t="shared" si="10"/>
        <v>18000</v>
      </c>
    </row>
    <row r="136" spans="17:21" s="77" customFormat="1" ht="83.1" customHeight="1">
      <c r="Q136" s="77">
        <v>1000000</v>
      </c>
      <c r="R136" s="108">
        <v>0.107</v>
      </c>
      <c r="S136" s="108">
        <v>9.2999999999999999E-2</v>
      </c>
      <c r="T136" s="80">
        <f t="shared" si="9"/>
        <v>107000</v>
      </c>
      <c r="U136" s="77">
        <f t="shared" si="10"/>
        <v>93000</v>
      </c>
    </row>
    <row r="137" spans="17:21" s="77" customFormat="1" ht="83.1" customHeight="1">
      <c r="Q137" s="77">
        <v>1000000</v>
      </c>
      <c r="R137" s="108">
        <v>1.4930000000000001</v>
      </c>
      <c r="S137" s="108">
        <v>1.069</v>
      </c>
      <c r="T137" s="80">
        <f t="shared" si="9"/>
        <v>1493000</v>
      </c>
      <c r="U137" s="77">
        <f t="shared" si="10"/>
        <v>1069000</v>
      </c>
    </row>
    <row r="138" spans="17:21" s="77" customFormat="1" ht="83.1" customHeight="1">
      <c r="Q138" s="77">
        <v>1000000</v>
      </c>
      <c r="R138" s="108">
        <v>1.2999999999999999E-2</v>
      </c>
      <c r="S138" s="108">
        <v>6.0000000000000001E-3</v>
      </c>
      <c r="T138" s="80">
        <f t="shared" si="9"/>
        <v>13000</v>
      </c>
      <c r="U138" s="77">
        <f t="shared" si="10"/>
        <v>6000</v>
      </c>
    </row>
    <row r="139" spans="17:21" s="77" customFormat="1" ht="83.1" customHeight="1">
      <c r="Q139" s="77">
        <v>1000000</v>
      </c>
      <c r="R139" s="108">
        <v>0</v>
      </c>
      <c r="S139" s="108">
        <v>0</v>
      </c>
      <c r="T139" s="80">
        <f t="shared" si="9"/>
        <v>0</v>
      </c>
      <c r="U139" s="77">
        <f t="shared" si="10"/>
        <v>0</v>
      </c>
    </row>
    <row r="140" spans="17:21" s="77" customFormat="1" ht="83.1" customHeight="1">
      <c r="Q140" s="77">
        <v>1000000</v>
      </c>
      <c r="R140" s="108">
        <v>2.0303999999999999E-2</v>
      </c>
      <c r="S140" s="108">
        <v>1.1388000000000001E-2</v>
      </c>
      <c r="T140" s="80">
        <f t="shared" si="9"/>
        <v>20304</v>
      </c>
      <c r="U140" s="77">
        <f t="shared" si="10"/>
        <v>11388</v>
      </c>
    </row>
    <row r="141" spans="17:21" s="77" customFormat="1" ht="83.1" customHeight="1">
      <c r="Q141" s="77">
        <v>1000000</v>
      </c>
      <c r="R141" s="108">
        <v>0</v>
      </c>
      <c r="S141" s="108">
        <v>0</v>
      </c>
      <c r="T141" s="80">
        <f t="shared" si="9"/>
        <v>0</v>
      </c>
      <c r="U141" s="77">
        <f t="shared" si="10"/>
        <v>0</v>
      </c>
    </row>
    <row r="142" spans="17:21" s="77" customFormat="1" ht="83.1" customHeight="1">
      <c r="Q142" s="77">
        <v>1000000</v>
      </c>
      <c r="R142" s="108">
        <v>2.4E-2</v>
      </c>
      <c r="S142" s="108">
        <v>4.0000000000000001E-3</v>
      </c>
      <c r="T142" s="80">
        <f t="shared" si="9"/>
        <v>24000</v>
      </c>
      <c r="U142" s="77">
        <f t="shared" si="10"/>
        <v>4000</v>
      </c>
    </row>
    <row r="143" spans="17:21" s="77" customFormat="1" ht="83.1" customHeight="1">
      <c r="Q143" s="77">
        <v>1000000</v>
      </c>
      <c r="R143" s="108">
        <v>4.2000000000000003E-2</v>
      </c>
      <c r="S143" s="108">
        <v>8.0000000000000002E-3</v>
      </c>
      <c r="T143" s="80">
        <f t="shared" si="9"/>
        <v>42000</v>
      </c>
      <c r="U143" s="77">
        <f t="shared" si="10"/>
        <v>8000</v>
      </c>
    </row>
    <row r="144" spans="17:21" s="77" customFormat="1" ht="83.1" customHeight="1">
      <c r="Q144" s="77">
        <v>1000000</v>
      </c>
      <c r="R144" s="108">
        <v>1.9E-2</v>
      </c>
      <c r="S144" s="108">
        <v>8.9999999999999993E-3</v>
      </c>
      <c r="T144" s="80">
        <f t="shared" si="9"/>
        <v>19000</v>
      </c>
      <c r="U144" s="77">
        <f t="shared" si="10"/>
        <v>9000</v>
      </c>
    </row>
    <row r="145" spans="14:21" s="77" customFormat="1" ht="83.1" customHeight="1">
      <c r="Q145" s="77">
        <v>1000000</v>
      </c>
      <c r="R145" s="108">
        <v>0</v>
      </c>
      <c r="S145" s="108">
        <v>0</v>
      </c>
      <c r="T145" s="80">
        <f t="shared" si="9"/>
        <v>0</v>
      </c>
      <c r="U145" s="77">
        <f t="shared" si="10"/>
        <v>0</v>
      </c>
    </row>
    <row r="146" spans="14:21" s="77" customFormat="1" ht="83.1" customHeight="1">
      <c r="Q146" s="77">
        <v>1000000</v>
      </c>
      <c r="R146" s="109">
        <v>18.317</v>
      </c>
      <c r="S146" s="109">
        <v>9.0370000000000008</v>
      </c>
      <c r="T146" s="80">
        <f t="shared" si="9"/>
        <v>18317000</v>
      </c>
      <c r="U146" s="77">
        <f t="shared" si="10"/>
        <v>9037000</v>
      </c>
    </row>
    <row r="147" spans="14:21" s="77" customFormat="1" ht="109.5" customHeight="1">
      <c r="Q147" s="77">
        <v>1000000</v>
      </c>
      <c r="R147" s="109">
        <v>0</v>
      </c>
      <c r="S147" s="109">
        <v>0</v>
      </c>
      <c r="T147" s="80">
        <f t="shared" si="9"/>
        <v>0</v>
      </c>
      <c r="U147" s="77">
        <f t="shared" si="10"/>
        <v>0</v>
      </c>
    </row>
    <row r="148" spans="14:21" s="77" customFormat="1" ht="83.1" customHeight="1">
      <c r="S148" s="80"/>
      <c r="T148" s="80"/>
    </row>
    <row r="149" spans="14:21" s="77" customFormat="1" ht="48.95" customHeight="1">
      <c r="O149" s="99"/>
      <c r="T149" s="80"/>
      <c r="U149" s="80"/>
    </row>
    <row r="150" spans="14:21" s="77" customFormat="1" ht="48.95" customHeight="1">
      <c r="O150" s="101"/>
      <c r="T150" s="80"/>
      <c r="U150" s="80"/>
    </row>
    <row r="151" spans="14:21" s="77" customFormat="1" ht="48.95" customHeight="1">
      <c r="O151" s="99"/>
      <c r="T151" s="80"/>
      <c r="U151" s="80"/>
    </row>
    <row r="152" spans="14:21" s="77" customFormat="1" ht="48.95" customHeight="1">
      <c r="N152" s="98"/>
      <c r="O152" s="100"/>
      <c r="T152" s="80"/>
      <c r="U152" s="80"/>
    </row>
    <row r="153" spans="14:21" s="77" customFormat="1" ht="48.95" customHeight="1">
      <c r="N153" s="98"/>
      <c r="O153" s="99"/>
      <c r="T153" s="80"/>
      <c r="U153" s="80"/>
    </row>
    <row r="154" spans="14:21" s="77" customFormat="1" ht="34.5" customHeight="1">
      <c r="N154" s="103"/>
      <c r="R154" s="80"/>
      <c r="S154" s="80"/>
    </row>
    <row r="155" spans="14:21" s="77" customFormat="1" ht="90" customHeight="1">
      <c r="S155" s="80"/>
      <c r="T155" s="80"/>
    </row>
    <row r="156" spans="14:21" s="77" customFormat="1" ht="149.25" customHeight="1">
      <c r="R156" s="80"/>
      <c r="S156" s="80"/>
    </row>
    <row r="157" spans="14:21" s="77" customFormat="1" ht="83.1" customHeight="1">
      <c r="P157" s="412">
        <v>0.06</v>
      </c>
      <c r="Q157" s="413"/>
      <c r="R157" s="77">
        <v>1000000</v>
      </c>
      <c r="S157" s="80">
        <f>R157*P157</f>
        <v>60000</v>
      </c>
      <c r="T157" s="80"/>
    </row>
    <row r="158" spans="14:21" s="77" customFormat="1" ht="83.1" customHeight="1">
      <c r="P158" s="412">
        <v>0.14399999999999999</v>
      </c>
      <c r="Q158" s="413"/>
      <c r="R158" s="77">
        <v>1000000</v>
      </c>
      <c r="S158" s="80">
        <f>R158*P158</f>
        <v>144000</v>
      </c>
      <c r="T158" s="80"/>
    </row>
    <row r="159" spans="14:21" s="77" customFormat="1" ht="83.1" customHeight="1">
      <c r="P159" s="412">
        <v>5.5E-2</v>
      </c>
      <c r="Q159" s="413"/>
      <c r="R159" s="77">
        <v>1000000</v>
      </c>
      <c r="S159" s="80">
        <f t="shared" ref="S159:S184" si="11">R159*P159</f>
        <v>55000</v>
      </c>
      <c r="T159" s="80"/>
    </row>
    <row r="160" spans="14:21" s="77" customFormat="1" ht="83.1" customHeight="1">
      <c r="P160" s="412">
        <v>1.3049999999999999</v>
      </c>
      <c r="Q160" s="413"/>
      <c r="R160" s="77">
        <v>1000000</v>
      </c>
      <c r="S160" s="80">
        <f t="shared" si="11"/>
        <v>1305000</v>
      </c>
      <c r="T160" s="80"/>
    </row>
    <row r="161" spans="16:20" s="77" customFormat="1" ht="83.1" customHeight="1">
      <c r="P161" s="412">
        <v>1.708</v>
      </c>
      <c r="Q161" s="413"/>
      <c r="R161" s="77">
        <v>1000000</v>
      </c>
      <c r="S161" s="80">
        <f t="shared" si="11"/>
        <v>1708000</v>
      </c>
      <c r="T161" s="80"/>
    </row>
    <row r="162" spans="16:20" s="77" customFormat="1" ht="83.1" customHeight="1">
      <c r="P162" s="412">
        <v>4.9000000000000002E-2</v>
      </c>
      <c r="Q162" s="413"/>
      <c r="R162" s="77">
        <v>1000000</v>
      </c>
      <c r="S162" s="80">
        <f t="shared" si="11"/>
        <v>49000</v>
      </c>
      <c r="T162" s="80"/>
    </row>
    <row r="163" spans="16:20" s="77" customFormat="1" ht="83.1" customHeight="1">
      <c r="P163" s="412">
        <v>1.389</v>
      </c>
      <c r="Q163" s="413"/>
      <c r="R163" s="77">
        <v>1000000</v>
      </c>
      <c r="S163" s="80">
        <f t="shared" si="11"/>
        <v>1389000</v>
      </c>
      <c r="T163" s="80"/>
    </row>
    <row r="164" spans="16:20" s="77" customFormat="1" ht="83.1" customHeight="1">
      <c r="P164" s="412">
        <v>9.4E-2</v>
      </c>
      <c r="Q164" s="413"/>
      <c r="R164" s="77">
        <v>1000000</v>
      </c>
      <c r="S164" s="80">
        <f t="shared" si="11"/>
        <v>94000</v>
      </c>
      <c r="T164" s="80"/>
    </row>
    <row r="165" spans="16:20" s="77" customFormat="1" ht="83.1" customHeight="1">
      <c r="P165" s="412">
        <v>0.57899999999999996</v>
      </c>
      <c r="Q165" s="413"/>
      <c r="R165" s="77">
        <v>1000000</v>
      </c>
      <c r="S165" s="80">
        <f t="shared" si="11"/>
        <v>579000</v>
      </c>
      <c r="T165" s="80"/>
    </row>
    <row r="166" spans="16:20" s="77" customFormat="1" ht="83.1" customHeight="1">
      <c r="P166" s="412">
        <v>0.249</v>
      </c>
      <c r="Q166" s="413"/>
      <c r="R166" s="77">
        <v>1000000</v>
      </c>
      <c r="S166" s="80">
        <f t="shared" si="11"/>
        <v>249000</v>
      </c>
      <c r="T166" s="80"/>
    </row>
    <row r="167" spans="16:20" s="77" customFormat="1" ht="83.1" customHeight="1">
      <c r="P167" s="412">
        <v>1.2E-2</v>
      </c>
      <c r="Q167" s="413"/>
      <c r="R167" s="77">
        <v>1000000</v>
      </c>
      <c r="S167" s="80">
        <f t="shared" si="11"/>
        <v>12000</v>
      </c>
      <c r="T167" s="80"/>
    </row>
    <row r="168" spans="16:20" s="77" customFormat="1" ht="83.1" customHeight="1">
      <c r="P168" s="412">
        <v>4.1000000000000002E-2</v>
      </c>
      <c r="Q168" s="413"/>
      <c r="R168" s="77">
        <v>1000000</v>
      </c>
      <c r="S168" s="80">
        <f t="shared" si="11"/>
        <v>41000</v>
      </c>
      <c r="T168" s="80"/>
    </row>
    <row r="169" spans="16:20" s="77" customFormat="1" ht="83.1" customHeight="1">
      <c r="P169" s="412">
        <v>0.222</v>
      </c>
      <c r="Q169" s="413"/>
      <c r="R169" s="77">
        <v>1000000</v>
      </c>
      <c r="S169" s="80">
        <f t="shared" si="11"/>
        <v>222000</v>
      </c>
      <c r="T169" s="80"/>
    </row>
    <row r="170" spans="16:20" s="77" customFormat="1" ht="83.1" customHeight="1">
      <c r="P170" s="412">
        <v>3.1E-2</v>
      </c>
      <c r="Q170" s="413"/>
      <c r="R170" s="77">
        <v>1000000</v>
      </c>
      <c r="S170" s="80">
        <f t="shared" si="11"/>
        <v>31000</v>
      </c>
      <c r="T170" s="80"/>
    </row>
    <row r="171" spans="16:20" s="77" customFormat="1" ht="83.1" customHeight="1">
      <c r="P171" s="412">
        <v>0.14699999999999999</v>
      </c>
      <c r="Q171" s="413"/>
      <c r="R171" s="77">
        <v>1000000</v>
      </c>
      <c r="S171" s="80">
        <f t="shared" si="11"/>
        <v>147000</v>
      </c>
      <c r="T171" s="80"/>
    </row>
    <row r="172" spans="16:20" s="77" customFormat="1" ht="83.1" customHeight="1">
      <c r="P172" s="412">
        <v>6.0000000000000001E-3</v>
      </c>
      <c r="Q172" s="413"/>
      <c r="R172" s="77">
        <v>1000000</v>
      </c>
      <c r="S172" s="80">
        <f t="shared" si="11"/>
        <v>6000</v>
      </c>
      <c r="T172" s="80"/>
    </row>
    <row r="173" spans="16:20" s="77" customFormat="1" ht="83.1" customHeight="1">
      <c r="P173" s="412">
        <v>0</v>
      </c>
      <c r="Q173" s="413"/>
      <c r="R173" s="77">
        <v>1000000</v>
      </c>
      <c r="S173" s="80">
        <f t="shared" si="11"/>
        <v>0</v>
      </c>
      <c r="T173" s="80"/>
    </row>
    <row r="174" spans="16:20" s="77" customFormat="1" ht="83.1" customHeight="1">
      <c r="P174" s="412">
        <v>0</v>
      </c>
      <c r="Q174" s="413"/>
      <c r="R174" s="77">
        <v>1000000</v>
      </c>
      <c r="S174" s="80">
        <f t="shared" si="11"/>
        <v>0</v>
      </c>
      <c r="T174" s="80"/>
    </row>
    <row r="175" spans="16:20" s="77" customFormat="1" ht="83.1" customHeight="1">
      <c r="P175" s="412">
        <v>0</v>
      </c>
      <c r="Q175" s="413"/>
      <c r="R175" s="77">
        <v>1000000</v>
      </c>
      <c r="S175" s="80">
        <f t="shared" si="11"/>
        <v>0</v>
      </c>
      <c r="T175" s="80"/>
    </row>
    <row r="176" spans="16:20" s="77" customFormat="1" ht="83.1" customHeight="1">
      <c r="P176" s="412">
        <v>0</v>
      </c>
      <c r="Q176" s="413"/>
      <c r="R176" s="77">
        <v>1000000</v>
      </c>
      <c r="S176" s="80">
        <f t="shared" si="11"/>
        <v>0</v>
      </c>
      <c r="T176" s="80"/>
    </row>
    <row r="177" spans="14:21" s="77" customFormat="1" ht="83.1" customHeight="1">
      <c r="P177" s="412">
        <v>0</v>
      </c>
      <c r="Q177" s="413"/>
      <c r="R177" s="77">
        <v>1000000</v>
      </c>
      <c r="S177" s="80">
        <f t="shared" si="11"/>
        <v>0</v>
      </c>
      <c r="T177" s="80"/>
    </row>
    <row r="178" spans="14:21" s="77" customFormat="1" ht="83.1" customHeight="1">
      <c r="P178" s="412">
        <v>0</v>
      </c>
      <c r="Q178" s="413"/>
      <c r="R178" s="77">
        <v>1000000</v>
      </c>
      <c r="S178" s="80">
        <f t="shared" si="11"/>
        <v>0</v>
      </c>
      <c r="T178" s="80"/>
    </row>
    <row r="179" spans="14:21" s="77" customFormat="1" ht="83.1" customHeight="1">
      <c r="P179" s="412">
        <v>3.1E-2</v>
      </c>
      <c r="Q179" s="413"/>
      <c r="R179" s="77">
        <v>1000000</v>
      </c>
      <c r="S179" s="80">
        <f t="shared" si="11"/>
        <v>31000</v>
      </c>
      <c r="T179" s="80"/>
    </row>
    <row r="180" spans="14:21" s="77" customFormat="1" ht="83.1" customHeight="1">
      <c r="P180" s="412">
        <v>0</v>
      </c>
      <c r="Q180" s="413"/>
      <c r="R180" s="77">
        <v>1000000</v>
      </c>
      <c r="S180" s="80">
        <f t="shared" si="11"/>
        <v>0</v>
      </c>
      <c r="T180" s="80"/>
    </row>
    <row r="181" spans="14:21" s="77" customFormat="1" ht="83.1" customHeight="1">
      <c r="P181" s="412">
        <v>4.4999999999999998E-2</v>
      </c>
      <c r="Q181" s="413"/>
      <c r="R181" s="77">
        <v>1000000</v>
      </c>
      <c r="S181" s="80">
        <f t="shared" si="11"/>
        <v>45000</v>
      </c>
      <c r="T181" s="80"/>
    </row>
    <row r="182" spans="14:21" s="77" customFormat="1" ht="83.1" customHeight="1">
      <c r="P182" s="412">
        <v>0</v>
      </c>
      <c r="Q182" s="413"/>
      <c r="R182" s="77">
        <v>1000000</v>
      </c>
      <c r="S182" s="80">
        <f t="shared" si="11"/>
        <v>0</v>
      </c>
      <c r="T182" s="80"/>
    </row>
    <row r="183" spans="14:21" s="77" customFormat="1" ht="83.1" customHeight="1">
      <c r="P183" s="412">
        <v>0.113</v>
      </c>
      <c r="Q183" s="413"/>
      <c r="R183" s="77">
        <v>1000000</v>
      </c>
      <c r="S183" s="80">
        <f t="shared" si="11"/>
        <v>113000</v>
      </c>
      <c r="T183" s="80"/>
    </row>
    <row r="184" spans="14:21" s="77" customFormat="1" ht="83.1" customHeight="1" thickBot="1">
      <c r="P184" s="423">
        <v>0</v>
      </c>
      <c r="Q184" s="424"/>
      <c r="R184" s="77">
        <v>1000000</v>
      </c>
      <c r="S184" s="80">
        <f t="shared" si="11"/>
        <v>0</v>
      </c>
      <c r="T184" s="80"/>
    </row>
    <row r="185" spans="14:21" s="77" customFormat="1" ht="106.5" customHeight="1" thickTop="1" thickBot="1">
      <c r="P185" s="425">
        <v>0</v>
      </c>
      <c r="Q185" s="426"/>
      <c r="S185" s="80"/>
      <c r="T185" s="80"/>
    </row>
    <row r="186" spans="14:21" s="77" customFormat="1" ht="83.1" customHeight="1" thickTop="1">
      <c r="S186" s="80"/>
      <c r="T186" s="80"/>
    </row>
    <row r="187" spans="14:21" s="77" customFormat="1" ht="57.95" customHeight="1">
      <c r="O187" s="104"/>
      <c r="T187" s="80"/>
      <c r="U187" s="80"/>
    </row>
    <row r="188" spans="14:21" s="77" customFormat="1" ht="57.95" customHeight="1">
      <c r="N188" s="101"/>
      <c r="O188" s="101"/>
      <c r="T188" s="80"/>
      <c r="U188" s="80"/>
    </row>
    <row r="189" spans="14:21" s="77" customFormat="1" ht="57.95" customHeight="1">
      <c r="O189" s="104"/>
      <c r="T189" s="80"/>
      <c r="U189" s="80"/>
    </row>
    <row r="190" spans="14:21" s="77" customFormat="1" ht="57.95" customHeight="1">
      <c r="O190" s="105"/>
      <c r="P190" s="105"/>
      <c r="Q190" s="105"/>
      <c r="R190" s="105"/>
      <c r="U190" s="80"/>
    </row>
    <row r="191" spans="14:21" s="77" customFormat="1" ht="57.95" customHeight="1">
      <c r="S191" s="80"/>
      <c r="T191" s="80"/>
    </row>
    <row r="192" spans="14:21" s="77" customFormat="1" ht="114.75" customHeight="1">
      <c r="S192" s="80"/>
      <c r="T192" s="80"/>
    </row>
    <row r="193" spans="10:21" s="77" customFormat="1" ht="85.5" customHeight="1">
      <c r="S193" s="80"/>
      <c r="T193" s="80"/>
    </row>
    <row r="194" spans="10:21" s="77" customFormat="1" ht="85.5" customHeight="1">
      <c r="S194" s="80"/>
      <c r="T194" s="80"/>
    </row>
    <row r="195" spans="10:21" s="77" customFormat="1" ht="66.75" customHeight="1">
      <c r="S195" s="80"/>
      <c r="T195" s="80"/>
    </row>
    <row r="196" spans="10:21" s="77" customFormat="1" ht="87" customHeight="1">
      <c r="S196" s="80"/>
      <c r="T196" s="80"/>
    </row>
    <row r="197" spans="10:21" s="77" customFormat="1" ht="81" customHeight="1">
      <c r="S197" s="80"/>
      <c r="T197" s="80"/>
    </row>
    <row r="198" spans="10:21" s="77" customFormat="1" ht="57.95" customHeight="1">
      <c r="S198" s="80"/>
      <c r="T198" s="80"/>
    </row>
    <row r="199" spans="10:21" s="77" customFormat="1" ht="57.95" customHeight="1">
      <c r="J199" s="104"/>
      <c r="O199" s="104"/>
      <c r="T199" s="80"/>
      <c r="U199" s="80"/>
    </row>
    <row r="200" spans="10:21" s="77" customFormat="1" ht="57.95" customHeight="1">
      <c r="J200" s="104"/>
      <c r="O200" s="104"/>
      <c r="T200" s="80"/>
      <c r="U200" s="80"/>
    </row>
    <row r="201" spans="10:21" s="77" customFormat="1" ht="57.95" customHeight="1">
      <c r="J201" s="104"/>
      <c r="O201" s="104"/>
      <c r="T201" s="80"/>
      <c r="U201" s="80"/>
    </row>
    <row r="202" spans="10:21" s="77" customFormat="1" ht="57.95" customHeight="1">
      <c r="J202" s="104"/>
      <c r="O202" s="104"/>
      <c r="T202" s="80"/>
      <c r="U202" s="80"/>
    </row>
    <row r="203" spans="10:21" s="77" customFormat="1" ht="35.1" customHeight="1">
      <c r="J203" s="104"/>
      <c r="O203" s="104"/>
      <c r="T203" s="80"/>
      <c r="U203" s="80"/>
    </row>
    <row r="204" spans="10:21" s="77" customFormat="1" ht="35.1" customHeight="1">
      <c r="J204" s="104"/>
      <c r="O204" s="104"/>
      <c r="T204" s="80"/>
      <c r="U204" s="80"/>
    </row>
    <row r="205" spans="10:21" s="77" customFormat="1" ht="35.1" customHeight="1">
      <c r="J205" s="104"/>
      <c r="O205" s="104"/>
      <c r="T205" s="80"/>
      <c r="U205" s="80"/>
    </row>
    <row r="206" spans="10:21" s="77" customFormat="1" ht="35.1" customHeight="1">
      <c r="J206" s="104"/>
      <c r="O206" s="104"/>
      <c r="T206" s="80"/>
      <c r="U206" s="80"/>
    </row>
    <row r="207" spans="10:21" s="77" customFormat="1" ht="35.1" customHeight="1">
      <c r="J207" s="104"/>
      <c r="O207" s="104"/>
      <c r="T207" s="80"/>
      <c r="U207" s="80"/>
    </row>
    <row r="208" spans="10:21" s="77" customFormat="1" ht="35.1" customHeight="1">
      <c r="J208" s="104"/>
      <c r="O208" s="104"/>
      <c r="T208" s="80"/>
      <c r="U208" s="80"/>
    </row>
    <row r="209" spans="10:21" s="77" customFormat="1" ht="35.1" customHeight="1">
      <c r="J209" s="104"/>
      <c r="O209" s="104"/>
      <c r="T209" s="80"/>
      <c r="U209" s="80"/>
    </row>
    <row r="210" spans="10:21" s="77" customFormat="1" ht="35.1" customHeight="1">
      <c r="J210" s="104"/>
      <c r="O210" s="104"/>
      <c r="T210" s="80"/>
      <c r="U210" s="80"/>
    </row>
    <row r="211" spans="10:21" s="77" customFormat="1" ht="35.1" customHeight="1">
      <c r="J211" s="104"/>
      <c r="O211" s="104"/>
      <c r="T211" s="80"/>
      <c r="U211" s="80"/>
    </row>
    <row r="212" spans="10:21" s="77" customFormat="1" ht="35.1" customHeight="1">
      <c r="J212" s="104"/>
      <c r="O212" s="104"/>
      <c r="T212" s="80"/>
      <c r="U212" s="80"/>
    </row>
    <row r="213" spans="10:21" s="77" customFormat="1" ht="35.1" customHeight="1">
      <c r="J213" s="104"/>
      <c r="O213" s="104"/>
      <c r="T213" s="80"/>
      <c r="U213" s="80"/>
    </row>
    <row r="214" spans="10:21" s="77" customFormat="1" ht="35.1" customHeight="1">
      <c r="J214" s="104"/>
      <c r="O214" s="104"/>
      <c r="T214" s="80"/>
      <c r="U214" s="80"/>
    </row>
    <row r="215" spans="10:21" s="77" customFormat="1" ht="35.1" customHeight="1">
      <c r="J215" s="104"/>
      <c r="O215" s="104"/>
      <c r="T215" s="80"/>
      <c r="U215" s="80"/>
    </row>
    <row r="216" spans="10:21" s="77" customFormat="1" ht="35.1" customHeight="1">
      <c r="J216" s="104"/>
      <c r="O216" s="104"/>
      <c r="T216" s="80"/>
      <c r="U216" s="80"/>
    </row>
    <row r="217" spans="10:21" s="77" customFormat="1" ht="35.1" customHeight="1">
      <c r="J217" s="104"/>
      <c r="O217" s="104"/>
      <c r="T217" s="80"/>
      <c r="U217" s="80"/>
    </row>
    <row r="218" spans="10:21" s="77" customFormat="1" ht="35.1" customHeight="1">
      <c r="J218" s="104"/>
      <c r="O218" s="104"/>
      <c r="T218" s="80"/>
      <c r="U218" s="80"/>
    </row>
    <row r="219" spans="10:21" s="77" customFormat="1" ht="35.1" customHeight="1">
      <c r="J219" s="104"/>
      <c r="O219" s="104"/>
      <c r="T219" s="80"/>
      <c r="U219" s="80"/>
    </row>
    <row r="220" spans="10:21" s="77" customFormat="1" ht="35.1" customHeight="1">
      <c r="J220" s="104"/>
      <c r="O220" s="104"/>
      <c r="T220" s="80"/>
      <c r="U220" s="80"/>
    </row>
    <row r="221" spans="10:21" s="77" customFormat="1" ht="35.1" customHeight="1">
      <c r="J221" s="104"/>
      <c r="O221" s="104"/>
      <c r="T221" s="80"/>
      <c r="U221" s="80"/>
    </row>
    <row r="222" spans="10:21" s="77" customFormat="1" ht="35.1" customHeight="1">
      <c r="J222" s="104"/>
      <c r="O222" s="104"/>
      <c r="T222" s="80"/>
      <c r="U222" s="80"/>
    </row>
    <row r="223" spans="10:21" s="77" customFormat="1" ht="35.1" customHeight="1">
      <c r="J223" s="104"/>
      <c r="O223" s="104"/>
      <c r="T223" s="80"/>
      <c r="U223" s="80"/>
    </row>
    <row r="224" spans="10:21" s="77" customFormat="1" ht="35.1" customHeight="1">
      <c r="J224" s="104"/>
      <c r="O224" s="104"/>
      <c r="T224" s="80"/>
      <c r="U224" s="80"/>
    </row>
    <row r="225" spans="10:21" s="77" customFormat="1" ht="35.1" customHeight="1">
      <c r="J225" s="104"/>
      <c r="O225" s="104"/>
      <c r="T225" s="80"/>
      <c r="U225" s="80"/>
    </row>
    <row r="226" spans="10:21" s="77" customFormat="1" ht="35.1" customHeight="1">
      <c r="J226" s="104"/>
      <c r="O226" s="104"/>
      <c r="T226" s="80"/>
      <c r="U226" s="80"/>
    </row>
    <row r="227" spans="10:21" s="77" customFormat="1" ht="35.1" customHeight="1">
      <c r="J227" s="104"/>
      <c r="O227" s="104"/>
      <c r="T227" s="80"/>
      <c r="U227" s="80"/>
    </row>
    <row r="228" spans="10:21" s="77" customFormat="1" ht="35.1" customHeight="1">
      <c r="J228" s="104"/>
      <c r="O228" s="104"/>
      <c r="T228" s="80"/>
      <c r="U228" s="80"/>
    </row>
    <row r="229" spans="10:21" s="77" customFormat="1" ht="35.1" customHeight="1">
      <c r="J229" s="104"/>
      <c r="O229" s="104"/>
      <c r="T229" s="80"/>
      <c r="U229" s="80"/>
    </row>
    <row r="230" spans="10:21" s="77" customFormat="1" ht="35.1" customHeight="1">
      <c r="J230" s="104"/>
      <c r="O230" s="104"/>
      <c r="T230" s="80"/>
      <c r="U230" s="80"/>
    </row>
    <row r="231" spans="10:21" s="77" customFormat="1" ht="35.1" customHeight="1">
      <c r="J231" s="104"/>
      <c r="O231" s="104"/>
      <c r="T231" s="80"/>
      <c r="U231" s="80"/>
    </row>
    <row r="232" spans="10:21" s="77" customFormat="1" ht="35.1" customHeight="1">
      <c r="J232" s="104"/>
      <c r="O232" s="104"/>
      <c r="T232" s="80"/>
      <c r="U232" s="80"/>
    </row>
    <row r="233" spans="10:21" s="77" customFormat="1" ht="35.1" customHeight="1">
      <c r="J233" s="104"/>
      <c r="O233" s="104"/>
      <c r="T233" s="80"/>
      <c r="U233" s="80"/>
    </row>
    <row r="234" spans="10:21" s="77" customFormat="1" ht="35.1" customHeight="1">
      <c r="J234" s="104"/>
      <c r="O234" s="104"/>
      <c r="T234" s="80"/>
      <c r="U234" s="80"/>
    </row>
    <row r="235" spans="10:21" s="77" customFormat="1" ht="35.1" customHeight="1">
      <c r="J235" s="104"/>
      <c r="O235" s="104"/>
      <c r="T235" s="80"/>
      <c r="U235" s="80"/>
    </row>
    <row r="236" spans="10:21" s="77" customFormat="1" ht="35.1" customHeight="1">
      <c r="J236" s="104"/>
      <c r="O236" s="104"/>
      <c r="T236" s="80"/>
      <c r="U236" s="80"/>
    </row>
    <row r="237" spans="10:21" s="77" customFormat="1" ht="35.1" customHeight="1">
      <c r="J237" s="104"/>
      <c r="O237" s="104"/>
      <c r="T237" s="80"/>
      <c r="U237" s="80"/>
    </row>
    <row r="238" spans="10:21" s="77" customFormat="1" ht="35.1" customHeight="1">
      <c r="J238" s="104"/>
      <c r="O238" s="104"/>
      <c r="T238" s="80"/>
      <c r="U238" s="80"/>
    </row>
    <row r="239" spans="10:21" s="77" customFormat="1" ht="35.1" customHeight="1">
      <c r="J239" s="104"/>
      <c r="O239" s="104"/>
      <c r="T239" s="80"/>
      <c r="U239" s="80"/>
    </row>
    <row r="240" spans="10:21" s="77" customFormat="1" ht="35.1" customHeight="1">
      <c r="J240" s="104"/>
      <c r="O240" s="104"/>
      <c r="T240" s="80"/>
      <c r="U240" s="80"/>
    </row>
    <row r="241" spans="10:21" s="77" customFormat="1" ht="35.1" customHeight="1">
      <c r="J241" s="104"/>
      <c r="O241" s="104"/>
      <c r="T241" s="80"/>
      <c r="U241" s="80"/>
    </row>
    <row r="242" spans="10:21" s="77" customFormat="1" ht="35.1" customHeight="1">
      <c r="J242" s="104"/>
      <c r="O242" s="104"/>
      <c r="T242" s="80"/>
      <c r="U242" s="80"/>
    </row>
    <row r="243" spans="10:21" s="77" customFormat="1" ht="35.1" customHeight="1">
      <c r="J243" s="104"/>
      <c r="O243" s="104"/>
      <c r="T243" s="80"/>
      <c r="U243" s="80"/>
    </row>
    <row r="244" spans="10:21" s="77" customFormat="1" ht="35.1" customHeight="1">
      <c r="J244" s="104"/>
      <c r="O244" s="104"/>
      <c r="T244" s="80"/>
      <c r="U244" s="80"/>
    </row>
    <row r="245" spans="10:21" s="77" customFormat="1" ht="35.1" customHeight="1">
      <c r="J245" s="104"/>
      <c r="O245" s="104"/>
      <c r="T245" s="80"/>
      <c r="U245" s="80"/>
    </row>
    <row r="246" spans="10:21" s="77" customFormat="1" ht="35.1" customHeight="1">
      <c r="J246" s="104"/>
      <c r="O246" s="104"/>
      <c r="T246" s="80"/>
      <c r="U246" s="80"/>
    </row>
    <row r="247" spans="10:21" s="77" customFormat="1" ht="35.1" customHeight="1">
      <c r="J247" s="104"/>
      <c r="O247" s="104"/>
      <c r="T247" s="80"/>
      <c r="U247" s="80"/>
    </row>
    <row r="248" spans="10:21" s="77" customFormat="1" ht="35.1" customHeight="1">
      <c r="J248" s="104"/>
      <c r="O248" s="104"/>
      <c r="T248" s="80"/>
      <c r="U248" s="80"/>
    </row>
    <row r="249" spans="10:21" s="77" customFormat="1" ht="35.1" customHeight="1">
      <c r="J249" s="104"/>
      <c r="O249" s="104"/>
      <c r="T249" s="80"/>
      <c r="U249" s="80"/>
    </row>
    <row r="250" spans="10:21" s="77" customFormat="1" ht="35.1" customHeight="1">
      <c r="J250" s="104"/>
      <c r="O250" s="104"/>
      <c r="T250" s="80"/>
      <c r="U250" s="80"/>
    </row>
    <row r="251" spans="10:21" s="77" customFormat="1" ht="35.1" customHeight="1">
      <c r="J251" s="104"/>
      <c r="O251" s="104"/>
      <c r="T251" s="80"/>
      <c r="U251" s="80"/>
    </row>
    <row r="252" spans="10:21" s="77" customFormat="1" ht="35.1" customHeight="1">
      <c r="J252" s="104"/>
      <c r="O252" s="104"/>
      <c r="T252" s="80"/>
      <c r="U252" s="80"/>
    </row>
    <row r="253" spans="10:21" s="77" customFormat="1" ht="35.1" customHeight="1">
      <c r="J253" s="104"/>
      <c r="O253" s="104"/>
      <c r="T253" s="80"/>
      <c r="U253" s="80"/>
    </row>
    <row r="254" spans="10:21" s="77" customFormat="1" ht="35.1" customHeight="1">
      <c r="J254" s="104"/>
      <c r="O254" s="104"/>
      <c r="T254" s="80"/>
      <c r="U254" s="80"/>
    </row>
    <row r="255" spans="10:21" s="77" customFormat="1" ht="35.1" customHeight="1">
      <c r="J255" s="104"/>
      <c r="O255" s="104"/>
      <c r="T255" s="80"/>
      <c r="U255" s="80"/>
    </row>
    <row r="256" spans="10:21" s="77" customFormat="1" ht="35.1" customHeight="1">
      <c r="J256" s="104"/>
      <c r="O256" s="104"/>
      <c r="T256" s="80"/>
      <c r="U256" s="80"/>
    </row>
    <row r="257" spans="10:21" s="77" customFormat="1" ht="35.1" customHeight="1">
      <c r="J257" s="104"/>
      <c r="O257" s="104"/>
      <c r="T257" s="80"/>
      <c r="U257" s="80"/>
    </row>
    <row r="258" spans="10:21" s="77" customFormat="1" ht="35.1" customHeight="1">
      <c r="J258" s="104"/>
      <c r="O258" s="104"/>
      <c r="T258" s="80"/>
      <c r="U258" s="80"/>
    </row>
    <row r="259" spans="10:21" s="77" customFormat="1" ht="35.1" customHeight="1">
      <c r="J259" s="104"/>
      <c r="O259" s="104"/>
      <c r="T259" s="80"/>
      <c r="U259" s="80"/>
    </row>
    <row r="260" spans="10:21" s="77" customFormat="1" ht="35.1" customHeight="1">
      <c r="J260" s="104"/>
      <c r="O260" s="104"/>
      <c r="T260" s="80"/>
      <c r="U260" s="80"/>
    </row>
    <row r="261" spans="10:21" s="77" customFormat="1" ht="35.1" customHeight="1">
      <c r="J261" s="104"/>
      <c r="O261" s="104"/>
      <c r="T261" s="80"/>
      <c r="U261" s="80"/>
    </row>
    <row r="262" spans="10:21" s="77" customFormat="1" ht="35.1" customHeight="1">
      <c r="J262" s="104"/>
      <c r="O262" s="104"/>
      <c r="T262" s="80"/>
      <c r="U262" s="80"/>
    </row>
    <row r="263" spans="10:21" s="77" customFormat="1" ht="35.1" customHeight="1">
      <c r="J263" s="104"/>
      <c r="O263" s="104"/>
      <c r="T263" s="80"/>
      <c r="U263" s="80"/>
    </row>
    <row r="264" spans="10:21" s="77" customFormat="1" ht="35.1" customHeight="1">
      <c r="J264" s="104"/>
      <c r="O264" s="104"/>
      <c r="T264" s="80"/>
      <c r="U264" s="80"/>
    </row>
    <row r="265" spans="10:21" s="77" customFormat="1" ht="35.1" customHeight="1">
      <c r="J265" s="106"/>
      <c r="O265" s="104"/>
      <c r="T265" s="80"/>
      <c r="U265" s="80"/>
    </row>
    <row r="266" spans="10:21" s="77" customFormat="1" ht="35.1" customHeight="1">
      <c r="J266" s="106"/>
      <c r="O266" s="104"/>
      <c r="T266" s="80"/>
      <c r="U266" s="80"/>
    </row>
    <row r="267" spans="10:21" s="77" customFormat="1" ht="35.1" customHeight="1">
      <c r="J267" s="106"/>
      <c r="O267" s="104"/>
      <c r="T267" s="80"/>
      <c r="U267" s="80"/>
    </row>
    <row r="268" spans="10:21" s="77" customFormat="1" ht="35.1" customHeight="1">
      <c r="J268" s="106"/>
      <c r="O268" s="104"/>
      <c r="T268" s="80"/>
      <c r="U268" s="80"/>
    </row>
    <row r="269" spans="10:21" s="77" customFormat="1" ht="35.1" customHeight="1">
      <c r="J269" s="106"/>
      <c r="O269" s="104"/>
      <c r="T269" s="80"/>
      <c r="U269" s="80"/>
    </row>
    <row r="270" spans="10:21" s="77" customFormat="1" ht="35.1" customHeight="1">
      <c r="J270" s="106"/>
      <c r="O270" s="104"/>
      <c r="T270" s="80"/>
      <c r="U270" s="80"/>
    </row>
    <row r="271" spans="10:21" s="77" customFormat="1" ht="35.1" customHeight="1">
      <c r="J271" s="106"/>
      <c r="O271" s="104"/>
      <c r="T271" s="80"/>
      <c r="U271" s="80"/>
    </row>
    <row r="272" spans="10:21" s="77" customFormat="1" ht="35.1" customHeight="1">
      <c r="J272" s="106"/>
      <c r="O272" s="104"/>
      <c r="T272" s="80"/>
      <c r="U272" s="80"/>
    </row>
    <row r="273" spans="10:21" s="77" customFormat="1" ht="35.1" customHeight="1">
      <c r="J273" s="106"/>
      <c r="O273" s="104"/>
      <c r="T273" s="80"/>
      <c r="U273" s="80"/>
    </row>
    <row r="274" spans="10:21" s="77" customFormat="1" ht="35.1" customHeight="1">
      <c r="J274" s="106"/>
      <c r="O274" s="104"/>
      <c r="T274" s="80"/>
      <c r="U274" s="80"/>
    </row>
    <row r="275" spans="10:21" s="77" customFormat="1" ht="35.1" customHeight="1">
      <c r="J275" s="106"/>
      <c r="O275" s="104"/>
      <c r="T275" s="80"/>
      <c r="U275" s="80"/>
    </row>
    <row r="276" spans="10:21" s="77" customFormat="1" ht="35.1" customHeight="1">
      <c r="J276" s="106"/>
      <c r="O276" s="104"/>
      <c r="T276" s="80"/>
      <c r="U276" s="80"/>
    </row>
    <row r="277" spans="10:21" s="77" customFormat="1" ht="35.1" customHeight="1">
      <c r="J277" s="106"/>
      <c r="O277" s="104"/>
      <c r="T277" s="80"/>
      <c r="U277" s="80"/>
    </row>
    <row r="278" spans="10:21" s="77" customFormat="1" ht="35.1" customHeight="1">
      <c r="J278" s="106"/>
      <c r="O278" s="104"/>
      <c r="T278" s="80"/>
      <c r="U278" s="80"/>
    </row>
    <row r="279" spans="10:21" s="77" customFormat="1" ht="35.1" customHeight="1">
      <c r="J279" s="106"/>
      <c r="O279" s="104"/>
      <c r="T279" s="80"/>
      <c r="U279" s="80"/>
    </row>
    <row r="280" spans="10:21" s="77" customFormat="1" ht="35.1" customHeight="1">
      <c r="J280" s="106"/>
      <c r="O280" s="104"/>
      <c r="T280" s="80"/>
      <c r="U280" s="80"/>
    </row>
    <row r="281" spans="10:21" s="77" customFormat="1" ht="35.1" customHeight="1">
      <c r="J281" s="106"/>
      <c r="O281" s="104"/>
      <c r="T281" s="80"/>
      <c r="U281" s="80"/>
    </row>
    <row r="282" spans="10:21" s="77" customFormat="1" ht="35.1" customHeight="1">
      <c r="J282" s="106"/>
      <c r="O282" s="104"/>
      <c r="T282" s="80"/>
      <c r="U282" s="80"/>
    </row>
    <row r="283" spans="10:21" s="77" customFormat="1" ht="35.1" customHeight="1">
      <c r="J283" s="106"/>
      <c r="O283" s="104"/>
      <c r="T283" s="80"/>
      <c r="U283" s="80"/>
    </row>
    <row r="284" spans="10:21" s="77" customFormat="1" ht="35.1" customHeight="1">
      <c r="J284" s="106"/>
      <c r="O284" s="104"/>
      <c r="T284" s="80"/>
      <c r="U284" s="80"/>
    </row>
    <row r="285" spans="10:21" s="77" customFormat="1" ht="35.1" customHeight="1">
      <c r="J285" s="106"/>
      <c r="O285" s="104"/>
      <c r="T285" s="80"/>
      <c r="U285" s="80"/>
    </row>
    <row r="286" spans="10:21" s="77" customFormat="1" ht="35.1" customHeight="1">
      <c r="J286" s="106"/>
      <c r="O286" s="104"/>
      <c r="T286" s="80"/>
      <c r="U286" s="80"/>
    </row>
    <row r="287" spans="10:21" s="77" customFormat="1" ht="35.1" customHeight="1">
      <c r="J287" s="106"/>
      <c r="O287" s="104"/>
      <c r="T287" s="80"/>
      <c r="U287" s="80"/>
    </row>
    <row r="288" spans="10:21" s="77" customFormat="1" ht="35.1" customHeight="1">
      <c r="J288" s="106"/>
      <c r="O288" s="104"/>
      <c r="T288" s="80"/>
      <c r="U288" s="80"/>
    </row>
    <row r="289" spans="10:21" s="77" customFormat="1" ht="35.1" customHeight="1">
      <c r="J289" s="106"/>
      <c r="O289" s="104"/>
      <c r="T289" s="80"/>
      <c r="U289" s="80"/>
    </row>
    <row r="290" spans="10:21" s="77" customFormat="1" ht="35.1" customHeight="1">
      <c r="J290" s="106"/>
      <c r="O290" s="104"/>
      <c r="T290" s="80"/>
      <c r="U290" s="80"/>
    </row>
    <row r="291" spans="10:21" s="77" customFormat="1" ht="35.1" customHeight="1">
      <c r="J291" s="106"/>
      <c r="O291" s="104"/>
      <c r="T291" s="80"/>
      <c r="U291" s="80"/>
    </row>
    <row r="292" spans="10:21" s="77" customFormat="1" ht="35.1" customHeight="1">
      <c r="J292" s="106"/>
      <c r="O292" s="104"/>
      <c r="T292" s="80"/>
      <c r="U292" s="80"/>
    </row>
    <row r="293" spans="10:21" s="77" customFormat="1" ht="35.1" customHeight="1">
      <c r="J293" s="106"/>
      <c r="O293" s="104"/>
      <c r="T293" s="80"/>
      <c r="U293" s="80"/>
    </row>
    <row r="294" spans="10:21" s="77" customFormat="1" ht="35.1" customHeight="1">
      <c r="J294" s="106"/>
      <c r="O294" s="104"/>
      <c r="T294" s="80"/>
      <c r="U294" s="80"/>
    </row>
    <row r="295" spans="10:21" s="77" customFormat="1" ht="35.1" customHeight="1">
      <c r="J295" s="106"/>
      <c r="O295" s="104"/>
      <c r="T295" s="80"/>
      <c r="U295" s="80"/>
    </row>
    <row r="296" spans="10:21" s="77" customFormat="1" ht="35.1" customHeight="1">
      <c r="J296" s="106"/>
      <c r="O296" s="104"/>
      <c r="T296" s="80"/>
      <c r="U296" s="80"/>
    </row>
    <row r="297" spans="10:21" s="77" customFormat="1" ht="35.1" customHeight="1">
      <c r="J297" s="106"/>
      <c r="O297" s="104"/>
      <c r="T297" s="80"/>
      <c r="U297" s="80"/>
    </row>
    <row r="298" spans="10:21" s="77" customFormat="1" ht="35.1" customHeight="1">
      <c r="J298" s="106"/>
      <c r="O298" s="104"/>
      <c r="T298" s="80"/>
      <c r="U298" s="80"/>
    </row>
    <row r="299" spans="10:21" s="77" customFormat="1" ht="35.1" customHeight="1">
      <c r="J299" s="106"/>
      <c r="O299" s="104"/>
      <c r="T299" s="80"/>
      <c r="U299" s="80"/>
    </row>
    <row r="300" spans="10:21" s="77" customFormat="1" ht="35.1" customHeight="1">
      <c r="J300" s="106"/>
      <c r="O300" s="104"/>
      <c r="T300" s="80"/>
      <c r="U300" s="80"/>
    </row>
    <row r="301" spans="10:21" s="77" customFormat="1" ht="35.1" customHeight="1">
      <c r="J301" s="106"/>
      <c r="O301" s="104"/>
      <c r="T301" s="80"/>
      <c r="U301" s="80"/>
    </row>
    <row r="302" spans="10:21" s="77" customFormat="1" ht="35.1" customHeight="1">
      <c r="J302" s="106"/>
      <c r="O302" s="104"/>
      <c r="T302" s="80"/>
      <c r="U302" s="80"/>
    </row>
    <row r="303" spans="10:21" s="77" customFormat="1" ht="35.1" customHeight="1">
      <c r="J303" s="106"/>
      <c r="O303" s="104"/>
      <c r="T303" s="80"/>
      <c r="U303" s="80"/>
    </row>
    <row r="304" spans="10:21" s="77" customFormat="1" ht="35.1" customHeight="1">
      <c r="J304" s="106"/>
      <c r="O304" s="104"/>
      <c r="T304" s="80"/>
      <c r="U304" s="80"/>
    </row>
    <row r="305" spans="10:21" s="77" customFormat="1" ht="35.1" customHeight="1">
      <c r="J305" s="106"/>
      <c r="O305" s="104"/>
      <c r="T305" s="80"/>
      <c r="U305" s="80"/>
    </row>
    <row r="306" spans="10:21" s="77" customFormat="1" ht="35.1" customHeight="1">
      <c r="J306" s="106"/>
      <c r="O306" s="104"/>
      <c r="T306" s="80"/>
      <c r="U306" s="80"/>
    </row>
    <row r="307" spans="10:21" s="77" customFormat="1" ht="35.1" customHeight="1">
      <c r="J307" s="106"/>
      <c r="O307" s="104"/>
      <c r="T307" s="80"/>
      <c r="U307" s="80"/>
    </row>
    <row r="308" spans="10:21" s="77" customFormat="1" ht="35.1" customHeight="1">
      <c r="J308" s="106"/>
      <c r="O308" s="104"/>
      <c r="T308" s="80"/>
      <c r="U308" s="80"/>
    </row>
    <row r="309" spans="10:21" s="77" customFormat="1" ht="35.1" customHeight="1">
      <c r="J309" s="106"/>
      <c r="O309" s="104"/>
      <c r="T309" s="80"/>
      <c r="U309" s="80"/>
    </row>
    <row r="310" spans="10:21" s="77" customFormat="1" ht="35.1" customHeight="1">
      <c r="J310" s="106"/>
      <c r="O310" s="104"/>
      <c r="T310" s="80"/>
      <c r="U310" s="80"/>
    </row>
    <row r="311" spans="10:21" s="77" customFormat="1" ht="35.1" customHeight="1">
      <c r="J311" s="106"/>
      <c r="O311" s="104"/>
      <c r="T311" s="80"/>
      <c r="U311" s="80"/>
    </row>
    <row r="312" spans="10:21" s="77" customFormat="1" ht="35.1" customHeight="1">
      <c r="J312" s="106"/>
      <c r="O312" s="104"/>
      <c r="T312" s="80"/>
      <c r="U312" s="80"/>
    </row>
    <row r="313" spans="10:21" s="77" customFormat="1" ht="35.1" customHeight="1">
      <c r="J313" s="106"/>
      <c r="O313" s="104"/>
      <c r="T313" s="80"/>
      <c r="U313" s="80"/>
    </row>
    <row r="314" spans="10:21" s="77" customFormat="1" ht="35.1" customHeight="1">
      <c r="J314" s="106"/>
      <c r="O314" s="104"/>
      <c r="T314" s="80"/>
      <c r="U314" s="80"/>
    </row>
    <row r="315" spans="10:21" s="77" customFormat="1" ht="35.1" customHeight="1">
      <c r="J315" s="106"/>
      <c r="O315" s="104"/>
      <c r="T315" s="80"/>
      <c r="U315" s="80"/>
    </row>
    <row r="316" spans="10:21" s="77" customFormat="1" ht="35.1" customHeight="1">
      <c r="J316" s="106"/>
      <c r="O316" s="104"/>
      <c r="T316" s="80"/>
      <c r="U316" s="80"/>
    </row>
    <row r="317" spans="10:21" s="77" customFormat="1" ht="35.1" customHeight="1">
      <c r="J317" s="106"/>
      <c r="O317" s="104"/>
      <c r="T317" s="80"/>
      <c r="U317" s="80"/>
    </row>
    <row r="318" spans="10:21" s="77" customFormat="1" ht="35.1" customHeight="1">
      <c r="J318" s="106"/>
      <c r="O318" s="104"/>
      <c r="T318" s="80"/>
      <c r="U318" s="80"/>
    </row>
    <row r="319" spans="10:21" s="77" customFormat="1" ht="35.1" customHeight="1">
      <c r="J319" s="106"/>
      <c r="O319" s="104"/>
      <c r="T319" s="80"/>
      <c r="U319" s="80"/>
    </row>
    <row r="320" spans="10:21" s="77" customFormat="1" ht="35.1" customHeight="1">
      <c r="J320" s="106"/>
      <c r="O320" s="104"/>
      <c r="T320" s="80"/>
      <c r="U320" s="80"/>
    </row>
    <row r="321" spans="10:21" s="77" customFormat="1" ht="35.1" customHeight="1">
      <c r="J321" s="106"/>
      <c r="O321" s="104"/>
      <c r="T321" s="80"/>
      <c r="U321" s="80"/>
    </row>
    <row r="322" spans="10:21" s="77" customFormat="1" ht="35.1" customHeight="1">
      <c r="J322" s="106"/>
      <c r="O322" s="104"/>
      <c r="T322" s="80"/>
      <c r="U322" s="80"/>
    </row>
    <row r="323" spans="10:21" s="77" customFormat="1" ht="35.1" customHeight="1">
      <c r="J323" s="106"/>
      <c r="O323" s="104"/>
      <c r="T323" s="80"/>
      <c r="U323" s="80"/>
    </row>
    <row r="324" spans="10:21" s="77" customFormat="1" ht="35.1" customHeight="1">
      <c r="J324" s="106"/>
      <c r="O324" s="104"/>
      <c r="T324" s="80"/>
      <c r="U324" s="80"/>
    </row>
    <row r="325" spans="10:21" s="77" customFormat="1" ht="35.1" customHeight="1">
      <c r="J325" s="106"/>
      <c r="O325" s="104"/>
      <c r="T325" s="80"/>
      <c r="U325" s="80"/>
    </row>
    <row r="326" spans="10:21" s="77" customFormat="1" ht="35.1" customHeight="1">
      <c r="J326" s="106"/>
      <c r="O326" s="104"/>
      <c r="T326" s="80"/>
      <c r="U326" s="80"/>
    </row>
    <row r="327" spans="10:21" s="77" customFormat="1" ht="35.1" customHeight="1">
      <c r="J327" s="106"/>
      <c r="O327" s="104"/>
      <c r="T327" s="80"/>
      <c r="U327" s="80"/>
    </row>
    <row r="328" spans="10:21" s="77" customFormat="1" ht="35.1" customHeight="1">
      <c r="J328" s="106"/>
      <c r="O328" s="104"/>
      <c r="T328" s="80"/>
      <c r="U328" s="80"/>
    </row>
    <row r="329" spans="10:21" s="77" customFormat="1" ht="35.1" customHeight="1">
      <c r="J329" s="106"/>
      <c r="O329" s="104"/>
      <c r="T329" s="80"/>
      <c r="U329" s="80"/>
    </row>
    <row r="330" spans="10:21" s="77" customFormat="1" ht="35.1" customHeight="1">
      <c r="J330" s="106"/>
      <c r="O330" s="104"/>
      <c r="T330" s="80"/>
      <c r="U330" s="80"/>
    </row>
    <row r="331" spans="10:21" s="77" customFormat="1" ht="35.1" customHeight="1">
      <c r="J331" s="106"/>
      <c r="O331" s="104"/>
      <c r="T331" s="80"/>
      <c r="U331" s="80"/>
    </row>
    <row r="332" spans="10:21" s="77" customFormat="1" ht="35.1" customHeight="1">
      <c r="J332" s="106"/>
      <c r="O332" s="104"/>
      <c r="T332" s="80"/>
      <c r="U332" s="80"/>
    </row>
    <row r="333" spans="10:21" s="77" customFormat="1" ht="35.1" customHeight="1">
      <c r="J333" s="106"/>
      <c r="O333" s="104"/>
      <c r="T333" s="80"/>
      <c r="U333" s="80"/>
    </row>
    <row r="334" spans="10:21" s="77" customFormat="1" ht="35.1" customHeight="1">
      <c r="J334" s="106"/>
      <c r="O334" s="104"/>
      <c r="T334" s="80"/>
      <c r="U334" s="80"/>
    </row>
    <row r="335" spans="10:21" s="77" customFormat="1" ht="35.1" customHeight="1">
      <c r="J335" s="106"/>
      <c r="O335" s="104"/>
      <c r="T335" s="80"/>
      <c r="U335" s="80"/>
    </row>
    <row r="336" spans="10:21" s="77" customFormat="1" ht="35.1" customHeight="1">
      <c r="J336" s="106"/>
      <c r="O336" s="104"/>
      <c r="T336" s="80"/>
      <c r="U336" s="80"/>
    </row>
    <row r="337" spans="10:21" s="77" customFormat="1" ht="35.1" customHeight="1">
      <c r="J337" s="106"/>
      <c r="O337" s="104"/>
      <c r="T337" s="80"/>
      <c r="U337" s="80"/>
    </row>
    <row r="338" spans="10:21" s="77" customFormat="1" ht="35.1" customHeight="1">
      <c r="J338" s="106"/>
      <c r="O338" s="104"/>
      <c r="T338" s="80"/>
      <c r="U338" s="80"/>
    </row>
    <row r="339" spans="10:21" s="77" customFormat="1" ht="35.1" customHeight="1">
      <c r="J339" s="106"/>
      <c r="O339" s="104"/>
      <c r="T339" s="80"/>
      <c r="U339" s="80"/>
    </row>
    <row r="340" spans="10:21" s="77" customFormat="1" ht="35.1" customHeight="1">
      <c r="J340" s="106"/>
      <c r="O340" s="104"/>
      <c r="T340" s="80"/>
      <c r="U340" s="80"/>
    </row>
    <row r="341" spans="10:21" s="77" customFormat="1" ht="35.1" customHeight="1">
      <c r="J341" s="106"/>
      <c r="O341" s="104"/>
      <c r="T341" s="80"/>
      <c r="U341" s="80"/>
    </row>
    <row r="342" spans="10:21" s="77" customFormat="1" ht="35.1" customHeight="1">
      <c r="J342" s="106"/>
      <c r="O342" s="104"/>
      <c r="T342" s="80"/>
      <c r="U342" s="80"/>
    </row>
    <row r="343" spans="10:21" s="77" customFormat="1" ht="35.1" customHeight="1">
      <c r="J343" s="106"/>
      <c r="O343" s="104"/>
      <c r="T343" s="80"/>
      <c r="U343" s="80"/>
    </row>
    <row r="344" spans="10:21" s="77" customFormat="1" ht="35.1" customHeight="1">
      <c r="J344" s="106"/>
      <c r="O344" s="104"/>
      <c r="T344" s="80"/>
      <c r="U344" s="80"/>
    </row>
    <row r="345" spans="10:21" s="77" customFormat="1" ht="35.1" customHeight="1">
      <c r="J345" s="106"/>
      <c r="O345" s="104"/>
      <c r="T345" s="80"/>
      <c r="U345" s="80"/>
    </row>
    <row r="346" spans="10:21" s="77" customFormat="1" ht="35.1" customHeight="1">
      <c r="J346" s="106"/>
      <c r="O346" s="104"/>
      <c r="T346" s="80"/>
      <c r="U346" s="80"/>
    </row>
    <row r="347" spans="10:21" s="77" customFormat="1" ht="35.1" customHeight="1">
      <c r="J347" s="106"/>
      <c r="O347" s="104"/>
      <c r="T347" s="80"/>
      <c r="U347" s="80"/>
    </row>
    <row r="348" spans="10:21" s="77" customFormat="1" ht="35.1" customHeight="1">
      <c r="J348" s="106"/>
      <c r="O348" s="104"/>
      <c r="T348" s="80"/>
      <c r="U348" s="80"/>
    </row>
    <row r="349" spans="10:21" s="77" customFormat="1" ht="35.1" customHeight="1">
      <c r="J349" s="106"/>
      <c r="O349" s="104"/>
      <c r="T349" s="80"/>
      <c r="U349" s="80"/>
    </row>
    <row r="350" spans="10:21" s="77" customFormat="1" ht="35.1" customHeight="1">
      <c r="J350" s="106"/>
      <c r="O350" s="104"/>
      <c r="T350" s="80"/>
      <c r="U350" s="80"/>
    </row>
    <row r="351" spans="10:21" s="77" customFormat="1" ht="35.1" customHeight="1">
      <c r="J351" s="106"/>
      <c r="O351" s="104"/>
      <c r="T351" s="80"/>
      <c r="U351" s="80"/>
    </row>
    <row r="352" spans="10:21" s="77" customFormat="1" ht="35.1" customHeight="1">
      <c r="J352" s="106"/>
      <c r="O352" s="104"/>
      <c r="T352" s="80"/>
      <c r="U352" s="80"/>
    </row>
    <row r="353" spans="10:21" s="77" customFormat="1" ht="35.1" customHeight="1">
      <c r="J353" s="106"/>
      <c r="O353" s="104"/>
      <c r="T353" s="80"/>
      <c r="U353" s="80"/>
    </row>
    <row r="354" spans="10:21" s="77" customFormat="1" ht="35.1" customHeight="1">
      <c r="J354" s="106"/>
      <c r="O354" s="104"/>
      <c r="T354" s="80"/>
      <c r="U354" s="80"/>
    </row>
    <row r="355" spans="10:21" s="77" customFormat="1" ht="35.1" customHeight="1">
      <c r="J355" s="106"/>
      <c r="O355" s="104"/>
      <c r="T355" s="80"/>
      <c r="U355" s="80"/>
    </row>
    <row r="356" spans="10:21" s="77" customFormat="1" ht="35.1" customHeight="1">
      <c r="J356" s="106"/>
      <c r="O356" s="104"/>
      <c r="T356" s="80"/>
      <c r="U356" s="80"/>
    </row>
    <row r="357" spans="10:21" s="77" customFormat="1" ht="35.1" customHeight="1">
      <c r="J357" s="106"/>
      <c r="O357" s="104"/>
      <c r="T357" s="80"/>
      <c r="U357" s="80"/>
    </row>
    <row r="358" spans="10:21" s="77" customFormat="1" ht="35.1" customHeight="1">
      <c r="J358" s="106"/>
      <c r="O358" s="104"/>
      <c r="T358" s="80"/>
      <c r="U358" s="80"/>
    </row>
    <row r="359" spans="10:21" s="77" customFormat="1" ht="35.1" customHeight="1">
      <c r="J359" s="106"/>
      <c r="O359" s="104"/>
      <c r="T359" s="80"/>
      <c r="U359" s="80"/>
    </row>
    <row r="360" spans="10:21" s="77" customFormat="1" ht="35.1" customHeight="1">
      <c r="J360" s="106"/>
      <c r="O360" s="104"/>
      <c r="T360" s="80"/>
      <c r="U360" s="80"/>
    </row>
    <row r="361" spans="10:21" s="77" customFormat="1" ht="35.1" customHeight="1">
      <c r="J361" s="106"/>
      <c r="O361" s="104"/>
      <c r="T361" s="80"/>
      <c r="U361" s="80"/>
    </row>
    <row r="362" spans="10:21" s="77" customFormat="1" ht="35.1" customHeight="1">
      <c r="J362" s="106"/>
      <c r="O362" s="104"/>
      <c r="T362" s="80"/>
      <c r="U362" s="80"/>
    </row>
    <row r="363" spans="10:21" s="77" customFormat="1" ht="35.1" customHeight="1">
      <c r="J363" s="106"/>
      <c r="O363" s="104"/>
      <c r="T363" s="80"/>
      <c r="U363" s="80"/>
    </row>
    <row r="364" spans="10:21" s="77" customFormat="1" ht="35.1" customHeight="1">
      <c r="J364" s="106"/>
      <c r="O364" s="104"/>
      <c r="T364" s="80"/>
      <c r="U364" s="80"/>
    </row>
    <row r="365" spans="10:21" s="77" customFormat="1" ht="35.1" customHeight="1">
      <c r="J365" s="106"/>
      <c r="O365" s="104"/>
      <c r="T365" s="80"/>
      <c r="U365" s="80"/>
    </row>
    <row r="366" spans="10:21" s="77" customFormat="1" ht="35.1" customHeight="1">
      <c r="J366" s="106"/>
      <c r="O366" s="104"/>
      <c r="T366" s="80"/>
      <c r="U366" s="80"/>
    </row>
    <row r="367" spans="10:21" s="77" customFormat="1" ht="35.1" customHeight="1">
      <c r="J367" s="106"/>
      <c r="O367" s="104"/>
      <c r="T367" s="80"/>
      <c r="U367" s="80"/>
    </row>
    <row r="368" spans="10:21" s="77" customFormat="1" ht="35.1" customHeight="1">
      <c r="J368" s="106"/>
      <c r="O368" s="104"/>
      <c r="T368" s="80"/>
      <c r="U368" s="80"/>
    </row>
    <row r="369" spans="10:21" s="77" customFormat="1" ht="35.1" customHeight="1">
      <c r="J369" s="106"/>
      <c r="O369" s="104"/>
      <c r="T369" s="80"/>
      <c r="U369" s="80"/>
    </row>
    <row r="370" spans="10:21" s="77" customFormat="1" ht="35.1" customHeight="1">
      <c r="J370" s="106"/>
      <c r="O370" s="104"/>
      <c r="T370" s="80"/>
      <c r="U370" s="80"/>
    </row>
    <row r="371" spans="10:21" s="77" customFormat="1" ht="35.1" customHeight="1">
      <c r="J371" s="106"/>
      <c r="O371" s="104"/>
      <c r="T371" s="80"/>
      <c r="U371" s="80"/>
    </row>
    <row r="372" spans="10:21" s="77" customFormat="1" ht="35.1" customHeight="1">
      <c r="J372" s="106"/>
      <c r="O372" s="104"/>
      <c r="T372" s="80"/>
      <c r="U372" s="80"/>
    </row>
    <row r="373" spans="10:21" s="77" customFormat="1" ht="35.1" customHeight="1">
      <c r="J373" s="106"/>
      <c r="O373" s="104"/>
      <c r="T373" s="80"/>
      <c r="U373" s="80"/>
    </row>
    <row r="374" spans="10:21" s="77" customFormat="1" ht="35.1" customHeight="1">
      <c r="J374" s="106"/>
      <c r="O374" s="104"/>
      <c r="T374" s="80"/>
      <c r="U374" s="80"/>
    </row>
    <row r="375" spans="10:21" s="77" customFormat="1" ht="35.1" customHeight="1">
      <c r="J375" s="106"/>
      <c r="O375" s="104"/>
      <c r="T375" s="80"/>
      <c r="U375" s="80"/>
    </row>
    <row r="376" spans="10:21" s="77" customFormat="1" ht="35.1" customHeight="1">
      <c r="J376" s="106"/>
      <c r="O376" s="104"/>
      <c r="T376" s="80"/>
      <c r="U376" s="80"/>
    </row>
    <row r="377" spans="10:21" s="77" customFormat="1" ht="35.1" customHeight="1">
      <c r="J377" s="106"/>
      <c r="O377" s="104"/>
      <c r="T377" s="80"/>
      <c r="U377" s="80"/>
    </row>
    <row r="378" spans="10:21" s="77" customFormat="1" ht="35.1" customHeight="1">
      <c r="J378" s="106"/>
      <c r="O378" s="104"/>
      <c r="T378" s="80"/>
      <c r="U378" s="80"/>
    </row>
    <row r="379" spans="10:21" s="77" customFormat="1" ht="35.1" customHeight="1">
      <c r="J379" s="106"/>
      <c r="O379" s="104"/>
      <c r="T379" s="80"/>
      <c r="U379" s="80"/>
    </row>
    <row r="380" spans="10:21" s="77" customFormat="1" ht="35.1" customHeight="1">
      <c r="J380" s="106"/>
      <c r="O380" s="104"/>
      <c r="T380" s="80"/>
      <c r="U380" s="80"/>
    </row>
    <row r="381" spans="10:21" s="77" customFormat="1" ht="35.1" customHeight="1">
      <c r="J381" s="106"/>
      <c r="O381" s="104"/>
      <c r="T381" s="80"/>
      <c r="U381" s="80"/>
    </row>
    <row r="382" spans="10:21" s="77" customFormat="1" ht="35.1" customHeight="1">
      <c r="J382" s="106"/>
      <c r="O382" s="104"/>
      <c r="T382" s="80"/>
      <c r="U382" s="80"/>
    </row>
    <row r="383" spans="10:21" s="77" customFormat="1" ht="35.1" customHeight="1">
      <c r="J383" s="106"/>
      <c r="O383" s="104"/>
      <c r="T383" s="80"/>
      <c r="U383" s="80"/>
    </row>
    <row r="384" spans="10:21" s="77" customFormat="1" ht="35.1" customHeight="1">
      <c r="J384" s="106"/>
      <c r="O384" s="104"/>
      <c r="T384" s="80"/>
      <c r="U384" s="80"/>
    </row>
    <row r="385" spans="10:21" s="77" customFormat="1" ht="35.1" customHeight="1">
      <c r="J385" s="106"/>
      <c r="O385" s="104"/>
      <c r="T385" s="80"/>
      <c r="U385" s="80"/>
    </row>
    <row r="386" spans="10:21" s="77" customFormat="1" ht="35.1" customHeight="1">
      <c r="J386" s="106"/>
      <c r="O386" s="104"/>
      <c r="T386" s="80"/>
      <c r="U386" s="80"/>
    </row>
    <row r="387" spans="10:21" s="77" customFormat="1" ht="35.1" customHeight="1">
      <c r="J387" s="106"/>
      <c r="O387" s="104"/>
      <c r="T387" s="80"/>
      <c r="U387" s="80"/>
    </row>
    <row r="388" spans="10:21" s="77" customFormat="1" ht="35.1" customHeight="1">
      <c r="J388" s="106"/>
      <c r="O388" s="104"/>
      <c r="T388" s="80"/>
      <c r="U388" s="80"/>
    </row>
    <row r="389" spans="10:21" s="77" customFormat="1" ht="35.1" customHeight="1">
      <c r="J389" s="106"/>
      <c r="O389" s="104"/>
      <c r="T389" s="80"/>
      <c r="U389" s="80"/>
    </row>
    <row r="390" spans="10:21" s="77" customFormat="1" ht="35.1" customHeight="1">
      <c r="J390" s="106"/>
      <c r="O390" s="104"/>
      <c r="T390" s="80"/>
      <c r="U390" s="80"/>
    </row>
    <row r="391" spans="10:21" s="77" customFormat="1" ht="35.1" customHeight="1">
      <c r="J391" s="106"/>
      <c r="O391" s="104"/>
      <c r="T391" s="80"/>
      <c r="U391" s="80"/>
    </row>
    <row r="392" spans="10:21" s="77" customFormat="1" ht="35.1" customHeight="1">
      <c r="J392" s="106"/>
      <c r="O392" s="104"/>
      <c r="T392" s="80"/>
      <c r="U392" s="80"/>
    </row>
    <row r="393" spans="10:21" s="77" customFormat="1" ht="35.1" customHeight="1">
      <c r="J393" s="106"/>
      <c r="O393" s="104"/>
      <c r="T393" s="80"/>
      <c r="U393" s="80"/>
    </row>
    <row r="394" spans="10:21" s="77" customFormat="1" ht="35.1" customHeight="1">
      <c r="J394" s="106"/>
      <c r="O394" s="104"/>
      <c r="T394" s="80"/>
      <c r="U394" s="80"/>
    </row>
    <row r="395" spans="10:21" s="77" customFormat="1" ht="35.1" customHeight="1">
      <c r="J395" s="106"/>
      <c r="O395" s="104"/>
      <c r="T395" s="80"/>
      <c r="U395" s="80"/>
    </row>
    <row r="396" spans="10:21" ht="35.1" customHeight="1">
      <c r="O396" s="104"/>
    </row>
    <row r="397" spans="10:21" ht="35.1" customHeight="1">
      <c r="O397" s="104"/>
    </row>
    <row r="398" spans="10:21" ht="35.1" customHeight="1">
      <c r="O398" s="104"/>
    </row>
    <row r="399" spans="10:21" ht="35.1" customHeight="1">
      <c r="O399" s="104"/>
    </row>
    <row r="400" spans="10:21" ht="35.1" customHeight="1">
      <c r="O400" s="104"/>
    </row>
    <row r="401" spans="15:15" ht="35.1" customHeight="1">
      <c r="O401" s="104"/>
    </row>
    <row r="402" spans="15:15" ht="35.1" customHeight="1">
      <c r="O402" s="104"/>
    </row>
    <row r="403" spans="15:15" ht="35.1" customHeight="1">
      <c r="O403" s="104"/>
    </row>
    <row r="404" spans="15:15" ht="35.1" customHeight="1">
      <c r="O404" s="104"/>
    </row>
    <row r="405" spans="15:15" ht="35.1" customHeight="1">
      <c r="O405" s="104"/>
    </row>
    <row r="406" spans="15:15" ht="35.1" customHeight="1">
      <c r="O406" s="104"/>
    </row>
    <row r="407" spans="15:15" ht="35.1" customHeight="1">
      <c r="O407" s="104"/>
    </row>
    <row r="408" spans="15:15" ht="35.1" customHeight="1">
      <c r="O408" s="104"/>
    </row>
    <row r="409" spans="15:15" ht="35.1" customHeight="1">
      <c r="O409" s="104"/>
    </row>
    <row r="410" spans="15:15" ht="35.1" customHeight="1">
      <c r="O410" s="104"/>
    </row>
    <row r="411" spans="15:15" ht="35.1" customHeight="1">
      <c r="O411" s="104"/>
    </row>
    <row r="412" spans="15:15" ht="35.1" customHeight="1">
      <c r="O412" s="104"/>
    </row>
    <row r="413" spans="15:15" ht="35.1" customHeight="1">
      <c r="O413" s="104"/>
    </row>
    <row r="414" spans="15:15" ht="35.1" customHeight="1">
      <c r="O414" s="104"/>
    </row>
    <row r="415" spans="15:15" ht="35.1" customHeight="1">
      <c r="O415" s="104"/>
    </row>
    <row r="416" spans="15:15" ht="35.1" customHeight="1">
      <c r="O416" s="104"/>
    </row>
    <row r="417" spans="15:15" ht="35.1" customHeight="1">
      <c r="O417" s="104"/>
    </row>
    <row r="418" spans="15:15" ht="35.1" customHeight="1">
      <c r="O418" s="104"/>
    </row>
    <row r="419" spans="15:15" ht="35.1" customHeight="1">
      <c r="O419" s="104"/>
    </row>
    <row r="420" spans="15:15" ht="35.1" customHeight="1">
      <c r="O420" s="104"/>
    </row>
    <row r="421" spans="15:15" ht="35.1" customHeight="1">
      <c r="O421" s="104"/>
    </row>
    <row r="422" spans="15:15" ht="35.1" customHeight="1">
      <c r="O422" s="104"/>
    </row>
    <row r="423" spans="15:15" ht="35.1" customHeight="1">
      <c r="O423" s="104"/>
    </row>
    <row r="424" spans="15:15" ht="35.1" customHeight="1">
      <c r="O424" s="104"/>
    </row>
    <row r="425" spans="15:15" ht="35.1" customHeight="1">
      <c r="O425" s="104"/>
    </row>
    <row r="426" spans="15:15" ht="35.1" customHeight="1">
      <c r="O426" s="104"/>
    </row>
    <row r="427" spans="15:15" ht="35.1" customHeight="1">
      <c r="O427" s="104"/>
    </row>
    <row r="428" spans="15:15" ht="35.1" customHeight="1">
      <c r="O428" s="104"/>
    </row>
    <row r="429" spans="15:15" ht="35.1" customHeight="1">
      <c r="O429" s="104"/>
    </row>
    <row r="430" spans="15:15" ht="35.1" customHeight="1">
      <c r="O430" s="104"/>
    </row>
    <row r="431" spans="15:15" ht="35.1" customHeight="1">
      <c r="O431" s="104"/>
    </row>
    <row r="432" spans="15:15" ht="35.1" customHeight="1">
      <c r="O432" s="104"/>
    </row>
    <row r="433" spans="15:15" ht="35.1" customHeight="1">
      <c r="O433" s="104"/>
    </row>
    <row r="434" spans="15:15" ht="35.1" customHeight="1">
      <c r="O434" s="104"/>
    </row>
    <row r="435" spans="15:15" ht="35.1" customHeight="1">
      <c r="O435" s="104"/>
    </row>
    <row r="436" spans="15:15" ht="35.1" customHeight="1">
      <c r="O436" s="104"/>
    </row>
    <row r="437" spans="15:15" ht="35.1" customHeight="1">
      <c r="O437" s="104"/>
    </row>
    <row r="438" spans="15:15" ht="35.1" customHeight="1">
      <c r="O438" s="104"/>
    </row>
    <row r="439" spans="15:15" ht="35.1" customHeight="1">
      <c r="O439" s="104"/>
    </row>
    <row r="440" spans="15:15" ht="35.1" customHeight="1">
      <c r="O440" s="104"/>
    </row>
    <row r="441" spans="15:15" ht="35.1" customHeight="1">
      <c r="O441" s="104"/>
    </row>
    <row r="442" spans="15:15" ht="35.1" customHeight="1">
      <c r="O442" s="104"/>
    </row>
    <row r="443" spans="15:15" ht="35.1" customHeight="1">
      <c r="O443" s="104"/>
    </row>
    <row r="444" spans="15:15" ht="35.1" customHeight="1">
      <c r="O444" s="104"/>
    </row>
    <row r="445" spans="15:15" ht="35.1" customHeight="1">
      <c r="O445" s="104"/>
    </row>
    <row r="446" spans="15:15" ht="35.1" customHeight="1">
      <c r="O446" s="104"/>
    </row>
    <row r="447" spans="15:15" ht="35.1" customHeight="1">
      <c r="O447" s="104"/>
    </row>
    <row r="448" spans="15:15" ht="35.1" customHeight="1">
      <c r="O448" s="104"/>
    </row>
    <row r="449" spans="15:15" ht="35.1" customHeight="1">
      <c r="O449" s="104"/>
    </row>
    <row r="450" spans="15:15" ht="35.1" customHeight="1">
      <c r="O450" s="104"/>
    </row>
    <row r="451" spans="15:15" ht="35.1" customHeight="1">
      <c r="O451" s="104"/>
    </row>
    <row r="452" spans="15:15" ht="35.1" customHeight="1">
      <c r="O452" s="104"/>
    </row>
    <row r="453" spans="15:15" ht="35.1" customHeight="1">
      <c r="O453" s="104"/>
    </row>
    <row r="454" spans="15:15" ht="35.1" customHeight="1">
      <c r="O454" s="104"/>
    </row>
    <row r="455" spans="15:15" ht="35.1" customHeight="1">
      <c r="O455" s="104"/>
    </row>
    <row r="456" spans="15:15" ht="35.1" customHeight="1">
      <c r="O456" s="104"/>
    </row>
    <row r="457" spans="15:15" ht="35.1" customHeight="1">
      <c r="O457" s="104"/>
    </row>
    <row r="458" spans="15:15" ht="35.1" customHeight="1">
      <c r="O458" s="104"/>
    </row>
    <row r="459" spans="15:15" ht="35.1" customHeight="1">
      <c r="O459" s="104"/>
    </row>
    <row r="460" spans="15:15" ht="35.1" customHeight="1">
      <c r="O460" s="104"/>
    </row>
    <row r="461" spans="15:15" ht="35.1" customHeight="1">
      <c r="O461" s="104"/>
    </row>
    <row r="462" spans="15:15" ht="35.1" customHeight="1">
      <c r="O462" s="104"/>
    </row>
    <row r="463" spans="15:15" ht="35.1" customHeight="1">
      <c r="O463" s="104"/>
    </row>
    <row r="464" spans="15:15" ht="35.1" customHeight="1">
      <c r="O464" s="104"/>
    </row>
    <row r="465" spans="15:15" ht="35.1" customHeight="1">
      <c r="O465" s="104"/>
    </row>
    <row r="466" spans="15:15" ht="35.1" customHeight="1">
      <c r="O466" s="104"/>
    </row>
    <row r="467" spans="15:15" ht="35.1" customHeight="1">
      <c r="O467" s="104"/>
    </row>
    <row r="468" spans="15:15" ht="35.1" customHeight="1">
      <c r="O468" s="104"/>
    </row>
    <row r="469" spans="15:15" ht="35.1" customHeight="1">
      <c r="O469" s="104"/>
    </row>
    <row r="470" spans="15:15" ht="35.1" customHeight="1">
      <c r="O470" s="104"/>
    </row>
    <row r="471" spans="15:15" ht="35.1" customHeight="1">
      <c r="O471" s="104"/>
    </row>
    <row r="472" spans="15:15" ht="35.1" customHeight="1">
      <c r="O472" s="104"/>
    </row>
    <row r="473" spans="15:15" ht="35.1" customHeight="1">
      <c r="O473" s="104"/>
    </row>
    <row r="474" spans="15:15" ht="35.1" customHeight="1">
      <c r="O474" s="104"/>
    </row>
    <row r="475" spans="15:15" ht="35.1" customHeight="1">
      <c r="O475" s="104"/>
    </row>
    <row r="476" spans="15:15" ht="35.1" customHeight="1">
      <c r="O476" s="104"/>
    </row>
    <row r="477" spans="15:15" ht="35.1" customHeight="1">
      <c r="O477" s="104"/>
    </row>
    <row r="478" spans="15:15" ht="35.1" customHeight="1">
      <c r="O478" s="104"/>
    </row>
    <row r="479" spans="15:15" ht="35.1" customHeight="1">
      <c r="O479" s="104"/>
    </row>
    <row r="480" spans="15:15" ht="35.1" customHeight="1">
      <c r="O480" s="104"/>
    </row>
    <row r="481" spans="15:15" ht="35.1" customHeight="1">
      <c r="O481" s="104"/>
    </row>
    <row r="482" spans="15:15" ht="35.1" customHeight="1">
      <c r="O482" s="104"/>
    </row>
    <row r="483" spans="15:15" ht="35.1" customHeight="1">
      <c r="O483" s="104"/>
    </row>
    <row r="484" spans="15:15" ht="35.1" customHeight="1">
      <c r="O484" s="104"/>
    </row>
    <row r="485" spans="15:15" ht="35.1" customHeight="1">
      <c r="O485" s="104"/>
    </row>
    <row r="486" spans="15:15" ht="35.1" customHeight="1">
      <c r="O486" s="104"/>
    </row>
    <row r="487" spans="15:15" ht="35.1" customHeight="1">
      <c r="O487" s="104"/>
    </row>
    <row r="488" spans="15:15" ht="35.1" customHeight="1">
      <c r="O488" s="104"/>
    </row>
    <row r="489" spans="15:15" ht="35.1" customHeight="1">
      <c r="O489" s="104"/>
    </row>
    <row r="490" spans="15:15" ht="35.1" customHeight="1">
      <c r="O490" s="104"/>
    </row>
    <row r="491" spans="15:15" ht="35.1" customHeight="1">
      <c r="O491" s="104"/>
    </row>
    <row r="492" spans="15:15" ht="35.1" customHeight="1">
      <c r="O492" s="104"/>
    </row>
    <row r="493" spans="15:15" ht="35.1" customHeight="1">
      <c r="O493" s="104"/>
    </row>
    <row r="494" spans="15:15" ht="35.1" customHeight="1">
      <c r="O494" s="104"/>
    </row>
    <row r="495" spans="15:15" ht="35.1" customHeight="1">
      <c r="O495" s="104"/>
    </row>
    <row r="496" spans="15:15" ht="35.1" customHeight="1">
      <c r="O496" s="104"/>
    </row>
    <row r="497" spans="15:15" ht="35.1" customHeight="1">
      <c r="O497" s="104"/>
    </row>
    <row r="498" spans="15:15" ht="35.1" customHeight="1">
      <c r="O498" s="104"/>
    </row>
    <row r="499" spans="15:15" ht="35.1" customHeight="1">
      <c r="O499" s="104"/>
    </row>
    <row r="500" spans="15:15" ht="35.1" customHeight="1">
      <c r="O500" s="104"/>
    </row>
    <row r="501" spans="15:15" ht="35.1" customHeight="1">
      <c r="O501" s="104"/>
    </row>
    <row r="502" spans="15:15" ht="35.1" customHeight="1">
      <c r="O502" s="104"/>
    </row>
    <row r="503" spans="15:15" ht="35.1" customHeight="1">
      <c r="O503" s="104"/>
    </row>
    <row r="504" spans="15:15" ht="35.1" customHeight="1">
      <c r="O504" s="104"/>
    </row>
    <row r="505" spans="15:15" ht="35.1" customHeight="1">
      <c r="O505" s="104"/>
    </row>
    <row r="506" spans="15:15" ht="35.1" customHeight="1">
      <c r="O506" s="104"/>
    </row>
    <row r="507" spans="15:15" ht="35.1" customHeight="1">
      <c r="O507" s="104"/>
    </row>
    <row r="508" spans="15:15" ht="35.1" customHeight="1">
      <c r="O508" s="104"/>
    </row>
    <row r="509" spans="15:15" ht="35.1" customHeight="1">
      <c r="O509" s="104"/>
    </row>
    <row r="510" spans="15:15" ht="35.1" customHeight="1">
      <c r="O510" s="104"/>
    </row>
    <row r="511" spans="15:15" ht="35.1" customHeight="1">
      <c r="O511" s="104"/>
    </row>
    <row r="512" spans="15:15" ht="35.1" customHeight="1">
      <c r="O512" s="104"/>
    </row>
    <row r="513" spans="15:15" ht="35.1" customHeight="1">
      <c r="O513" s="104"/>
    </row>
    <row r="514" spans="15:15" ht="35.1" customHeight="1">
      <c r="O514" s="104"/>
    </row>
    <row r="515" spans="15:15" ht="35.1" customHeight="1">
      <c r="O515" s="104"/>
    </row>
    <row r="516" spans="15:15" ht="35.1" customHeight="1">
      <c r="O516" s="104"/>
    </row>
    <row r="517" spans="15:15" ht="35.1" customHeight="1">
      <c r="O517" s="104"/>
    </row>
    <row r="518" spans="15:15" ht="35.1" customHeight="1">
      <c r="O518" s="104"/>
    </row>
    <row r="519" spans="15:15" ht="35.1" customHeight="1">
      <c r="O519" s="104"/>
    </row>
    <row r="520" spans="15:15" ht="35.1" customHeight="1">
      <c r="O520" s="104"/>
    </row>
    <row r="521" spans="15:15" ht="35.1" customHeight="1">
      <c r="O521" s="104"/>
    </row>
    <row r="522" spans="15:15" ht="35.1" customHeight="1">
      <c r="O522" s="104"/>
    </row>
    <row r="523" spans="15:15" ht="35.1" customHeight="1">
      <c r="O523" s="104"/>
    </row>
    <row r="524" spans="15:15" ht="35.1" customHeight="1">
      <c r="O524" s="104"/>
    </row>
    <row r="525" spans="15:15" ht="35.1" customHeight="1">
      <c r="O525" s="104"/>
    </row>
    <row r="526" spans="15:15" ht="35.1" customHeight="1">
      <c r="O526" s="104"/>
    </row>
    <row r="527" spans="15:15" ht="35.1" customHeight="1">
      <c r="O527" s="104"/>
    </row>
    <row r="528" spans="15:15" ht="35.1" customHeight="1">
      <c r="O528" s="104"/>
    </row>
    <row r="529" spans="15:15" ht="35.1" customHeight="1">
      <c r="O529" s="104"/>
    </row>
    <row r="530" spans="15:15" ht="35.1" customHeight="1">
      <c r="O530" s="104"/>
    </row>
    <row r="531" spans="15:15" ht="35.1" customHeight="1">
      <c r="O531" s="104"/>
    </row>
    <row r="532" spans="15:15" ht="35.1" customHeight="1">
      <c r="O532" s="104"/>
    </row>
    <row r="533" spans="15:15" ht="35.1" customHeight="1">
      <c r="O533" s="104"/>
    </row>
    <row r="534" spans="15:15" ht="35.1" customHeight="1">
      <c r="O534" s="104"/>
    </row>
    <row r="535" spans="15:15" ht="35.1" customHeight="1">
      <c r="O535" s="104"/>
    </row>
    <row r="536" spans="15:15" ht="35.1" customHeight="1">
      <c r="O536" s="104"/>
    </row>
    <row r="537" spans="15:15" ht="35.1" customHeight="1">
      <c r="O537" s="104"/>
    </row>
    <row r="538" spans="15:15" ht="35.1" customHeight="1">
      <c r="O538" s="104"/>
    </row>
    <row r="539" spans="15:15" ht="35.1" customHeight="1">
      <c r="O539" s="104"/>
    </row>
    <row r="540" spans="15:15" ht="35.1" customHeight="1">
      <c r="O540" s="104"/>
    </row>
    <row r="541" spans="15:15" ht="35.1" customHeight="1">
      <c r="O541" s="104"/>
    </row>
    <row r="542" spans="15:15" ht="35.1" customHeight="1">
      <c r="O542" s="104"/>
    </row>
    <row r="543" spans="15:15" ht="35.1" customHeight="1">
      <c r="O543" s="104"/>
    </row>
    <row r="544" spans="15:15" ht="35.1" customHeight="1">
      <c r="O544" s="104"/>
    </row>
    <row r="545" spans="15:15" ht="35.1" customHeight="1">
      <c r="O545" s="104"/>
    </row>
    <row r="546" spans="15:15" ht="35.1" customHeight="1">
      <c r="O546" s="104"/>
    </row>
    <row r="547" spans="15:15" ht="35.1" customHeight="1">
      <c r="O547" s="104"/>
    </row>
    <row r="548" spans="15:15" ht="35.1" customHeight="1">
      <c r="O548" s="104"/>
    </row>
    <row r="549" spans="15:15" ht="35.1" customHeight="1">
      <c r="O549" s="104"/>
    </row>
    <row r="550" spans="15:15" ht="35.1" customHeight="1">
      <c r="O550" s="104"/>
    </row>
    <row r="551" spans="15:15" ht="35.1" customHeight="1">
      <c r="O551" s="104"/>
    </row>
    <row r="552" spans="15:15" ht="35.1" customHeight="1">
      <c r="O552" s="104"/>
    </row>
    <row r="553" spans="15:15" ht="35.1" customHeight="1">
      <c r="O553" s="104"/>
    </row>
    <row r="554" spans="15:15" ht="35.1" customHeight="1">
      <c r="O554" s="104"/>
    </row>
    <row r="555" spans="15:15" ht="35.1" customHeight="1">
      <c r="O555" s="104"/>
    </row>
    <row r="556" spans="15:15" ht="35.1" customHeight="1">
      <c r="O556" s="104"/>
    </row>
    <row r="557" spans="15:15" ht="35.1" customHeight="1">
      <c r="O557" s="104"/>
    </row>
    <row r="558" spans="15:15" ht="35.1" customHeight="1">
      <c r="O558" s="104"/>
    </row>
    <row r="559" spans="15:15" ht="35.1" customHeight="1">
      <c r="O559" s="104"/>
    </row>
    <row r="560" spans="15:15" ht="35.1" customHeight="1">
      <c r="O560" s="104"/>
    </row>
    <row r="561" spans="15:15" ht="35.1" customHeight="1">
      <c r="O561" s="104"/>
    </row>
    <row r="562" spans="15:15" ht="35.1" customHeight="1">
      <c r="O562" s="104"/>
    </row>
    <row r="563" spans="15:15" ht="35.1" customHeight="1">
      <c r="O563" s="104"/>
    </row>
    <row r="564" spans="15:15" ht="35.1" customHeight="1">
      <c r="O564" s="104"/>
    </row>
    <row r="565" spans="15:15" ht="35.1" customHeight="1">
      <c r="O565" s="104"/>
    </row>
    <row r="566" spans="15:15" ht="35.1" customHeight="1">
      <c r="O566" s="104"/>
    </row>
    <row r="567" spans="15:15" ht="35.1" customHeight="1">
      <c r="O567" s="104"/>
    </row>
    <row r="568" spans="15:15" ht="35.1" customHeight="1">
      <c r="O568" s="104"/>
    </row>
    <row r="569" spans="15:15" ht="35.1" customHeight="1">
      <c r="O569" s="104"/>
    </row>
    <row r="570" spans="15:15" ht="35.1" customHeight="1">
      <c r="O570" s="104"/>
    </row>
    <row r="571" spans="15:15" ht="35.1" customHeight="1">
      <c r="O571" s="104"/>
    </row>
    <row r="572" spans="15:15" ht="35.1" customHeight="1">
      <c r="O572" s="104"/>
    </row>
    <row r="573" spans="15:15" ht="35.1" customHeight="1">
      <c r="O573" s="104"/>
    </row>
    <row r="574" spans="15:15" ht="35.1" customHeight="1">
      <c r="O574" s="104"/>
    </row>
    <row r="575" spans="15:15" ht="35.1" customHeight="1">
      <c r="O575" s="104"/>
    </row>
    <row r="576" spans="15:15" ht="35.1" customHeight="1">
      <c r="O576" s="104"/>
    </row>
    <row r="577" spans="15:15" ht="35.1" customHeight="1">
      <c r="O577" s="104"/>
    </row>
    <row r="578" spans="15:15" ht="35.1" customHeight="1">
      <c r="O578" s="104"/>
    </row>
    <row r="579" spans="15:15" ht="35.1" customHeight="1">
      <c r="O579" s="104"/>
    </row>
    <row r="580" spans="15:15" ht="35.1" customHeight="1">
      <c r="O580" s="104"/>
    </row>
    <row r="581" spans="15:15" ht="35.1" customHeight="1">
      <c r="O581" s="104"/>
    </row>
    <row r="582" spans="15:15" ht="35.1" customHeight="1">
      <c r="O582" s="104"/>
    </row>
    <row r="583" spans="15:15" ht="35.1" customHeight="1">
      <c r="O583" s="104"/>
    </row>
    <row r="584" spans="15:15" ht="35.1" customHeight="1">
      <c r="O584" s="104"/>
    </row>
    <row r="585" spans="15:15" ht="35.1" customHeight="1">
      <c r="O585" s="104"/>
    </row>
    <row r="586" spans="15:15" ht="35.1" customHeight="1">
      <c r="O586" s="104"/>
    </row>
    <row r="587" spans="15:15" ht="35.1" customHeight="1">
      <c r="O587" s="104"/>
    </row>
    <row r="588" spans="15:15" ht="35.1" customHeight="1">
      <c r="O588" s="104"/>
    </row>
    <row r="589" spans="15:15" ht="35.1" customHeight="1">
      <c r="O589" s="104"/>
    </row>
    <row r="590" spans="15:15" ht="35.1" customHeight="1">
      <c r="O590" s="104"/>
    </row>
    <row r="591" spans="15:15" ht="35.1" customHeight="1">
      <c r="O591" s="104"/>
    </row>
    <row r="592" spans="15:15" ht="35.1" customHeight="1">
      <c r="O592" s="104"/>
    </row>
    <row r="593" spans="15:15" ht="35.1" customHeight="1">
      <c r="O593" s="104"/>
    </row>
    <row r="594" spans="15:15" ht="35.1" customHeight="1">
      <c r="O594" s="104"/>
    </row>
    <row r="595" spans="15:15" ht="35.1" customHeight="1">
      <c r="O595" s="104"/>
    </row>
    <row r="596" spans="15:15" ht="35.1" customHeight="1">
      <c r="O596" s="104"/>
    </row>
    <row r="597" spans="15:15" ht="35.1" customHeight="1">
      <c r="O597" s="104"/>
    </row>
    <row r="598" spans="15:15" ht="35.1" customHeight="1">
      <c r="O598" s="104"/>
    </row>
    <row r="599" spans="15:15" ht="35.1" customHeight="1">
      <c r="O599" s="104"/>
    </row>
    <row r="600" spans="15:15" ht="35.1" customHeight="1">
      <c r="O600" s="104"/>
    </row>
    <row r="601" spans="15:15" ht="35.1" customHeight="1">
      <c r="O601" s="104"/>
    </row>
    <row r="602" spans="15:15" ht="35.1" customHeight="1">
      <c r="O602" s="104"/>
    </row>
    <row r="603" spans="15:15" ht="35.1" customHeight="1">
      <c r="O603" s="104"/>
    </row>
    <row r="604" spans="15:15" ht="35.1" customHeight="1">
      <c r="O604" s="104"/>
    </row>
    <row r="605" spans="15:15" ht="35.1" customHeight="1">
      <c r="O605" s="104"/>
    </row>
    <row r="606" spans="15:15" ht="35.1" customHeight="1">
      <c r="O606" s="104"/>
    </row>
    <row r="607" spans="15:15" ht="35.1" customHeight="1">
      <c r="O607" s="104"/>
    </row>
    <row r="608" spans="15:15" ht="35.1" customHeight="1">
      <c r="O608" s="104"/>
    </row>
    <row r="609" spans="15:15" ht="35.1" customHeight="1">
      <c r="O609" s="104"/>
    </row>
    <row r="610" spans="15:15" ht="35.1" customHeight="1">
      <c r="O610" s="104"/>
    </row>
    <row r="611" spans="15:15" ht="35.1" customHeight="1">
      <c r="O611" s="104"/>
    </row>
    <row r="612" spans="15:15" ht="35.1" customHeight="1">
      <c r="O612" s="104"/>
    </row>
    <row r="613" spans="15:15" ht="35.1" customHeight="1">
      <c r="O613" s="104"/>
    </row>
    <row r="614" spans="15:15" ht="35.1" customHeight="1">
      <c r="O614" s="104"/>
    </row>
    <row r="615" spans="15:15" ht="35.1" customHeight="1">
      <c r="O615" s="104"/>
    </row>
    <row r="616" spans="15:15" ht="35.1" customHeight="1">
      <c r="O616" s="104"/>
    </row>
    <row r="617" spans="15:15" ht="35.1" customHeight="1">
      <c r="O617" s="104"/>
    </row>
    <row r="618" spans="15:15" ht="35.1" customHeight="1">
      <c r="O618" s="104"/>
    </row>
    <row r="619" spans="15:15" ht="35.1" customHeight="1">
      <c r="O619" s="104"/>
    </row>
    <row r="620" spans="15:15" ht="35.1" customHeight="1">
      <c r="O620" s="104"/>
    </row>
    <row r="621" spans="15:15" ht="35.1" customHeight="1">
      <c r="O621" s="104"/>
    </row>
    <row r="622" spans="15:15" ht="35.1" customHeight="1">
      <c r="O622" s="104"/>
    </row>
    <row r="623" spans="15:15" ht="35.1" customHeight="1">
      <c r="O623" s="104"/>
    </row>
    <row r="624" spans="15:15" ht="35.1" customHeight="1">
      <c r="O624" s="104"/>
    </row>
    <row r="625" spans="15:15" ht="35.1" customHeight="1">
      <c r="O625" s="104"/>
    </row>
    <row r="626" spans="15:15" ht="35.1" customHeight="1">
      <c r="O626" s="104"/>
    </row>
    <row r="627" spans="15:15" ht="35.1" customHeight="1">
      <c r="O627" s="104"/>
    </row>
    <row r="628" spans="15:15" ht="35.1" customHeight="1">
      <c r="O628" s="104"/>
    </row>
    <row r="629" spans="15:15" ht="35.1" customHeight="1">
      <c r="O629" s="104"/>
    </row>
    <row r="630" spans="15:15" ht="35.1" customHeight="1">
      <c r="O630" s="104"/>
    </row>
    <row r="631" spans="15:15" ht="35.1" customHeight="1">
      <c r="O631" s="104"/>
    </row>
    <row r="632" spans="15:15" ht="35.1" customHeight="1">
      <c r="O632" s="104"/>
    </row>
    <row r="633" spans="15:15" ht="35.1" customHeight="1">
      <c r="O633" s="104"/>
    </row>
    <row r="634" spans="15:15" ht="35.1" customHeight="1">
      <c r="O634" s="104"/>
    </row>
    <row r="635" spans="15:15" ht="35.1" customHeight="1">
      <c r="O635" s="104"/>
    </row>
    <row r="636" spans="15:15" ht="35.1" customHeight="1">
      <c r="O636" s="104"/>
    </row>
    <row r="637" spans="15:15" ht="35.1" customHeight="1">
      <c r="O637" s="104"/>
    </row>
    <row r="638" spans="15:15" ht="35.1" customHeight="1">
      <c r="O638" s="104"/>
    </row>
    <row r="639" spans="15:15" ht="35.1" customHeight="1">
      <c r="O639" s="104"/>
    </row>
    <row r="640" spans="15:15" ht="35.1" customHeight="1">
      <c r="O640" s="104"/>
    </row>
    <row r="641" spans="15:15" ht="35.1" customHeight="1">
      <c r="O641" s="104"/>
    </row>
    <row r="642" spans="15:15" ht="35.1" customHeight="1">
      <c r="O642" s="104"/>
    </row>
    <row r="643" spans="15:15" ht="35.1" customHeight="1">
      <c r="O643" s="104"/>
    </row>
    <row r="644" spans="15:15" ht="35.1" customHeight="1">
      <c r="O644" s="104"/>
    </row>
    <row r="645" spans="15:15" ht="35.1" customHeight="1">
      <c r="O645" s="104"/>
    </row>
    <row r="646" spans="15:15" ht="35.1" customHeight="1">
      <c r="O646" s="104"/>
    </row>
    <row r="647" spans="15:15" ht="35.1" customHeight="1">
      <c r="O647" s="104"/>
    </row>
    <row r="648" spans="15:15" ht="35.1" customHeight="1">
      <c r="O648" s="104"/>
    </row>
    <row r="649" spans="15:15" ht="35.1" customHeight="1">
      <c r="O649" s="104"/>
    </row>
    <row r="650" spans="15:15" ht="35.1" customHeight="1">
      <c r="O650" s="104"/>
    </row>
    <row r="651" spans="15:15" ht="35.1" customHeight="1">
      <c r="O651" s="104"/>
    </row>
    <row r="652" spans="15:15" ht="35.1" customHeight="1">
      <c r="O652" s="104"/>
    </row>
    <row r="653" spans="15:15" ht="35.1" customHeight="1">
      <c r="O653" s="104"/>
    </row>
    <row r="654" spans="15:15" ht="35.1" customHeight="1"/>
    <row r="655" spans="15:15" ht="35.1" customHeight="1"/>
    <row r="656" spans="15:15" ht="35.1" customHeight="1"/>
    <row r="657" ht="35.1" customHeight="1"/>
  </sheetData>
  <autoFilter ref="I1:I657">
    <filterColumn colId="0"/>
  </autoFilter>
  <mergeCells count="65">
    <mergeCell ref="R97:S97"/>
    <mergeCell ref="R92:S92"/>
    <mergeCell ref="R93:S93"/>
    <mergeCell ref="R94:S94"/>
    <mergeCell ref="R95:S95"/>
    <mergeCell ref="R96:S96"/>
    <mergeCell ref="R86:S86"/>
    <mergeCell ref="R87:S87"/>
    <mergeCell ref="R88:S88"/>
    <mergeCell ref="R90:S90"/>
    <mergeCell ref="R91:S91"/>
    <mergeCell ref="R81:S81"/>
    <mergeCell ref="R82:S82"/>
    <mergeCell ref="R83:S83"/>
    <mergeCell ref="R84:S84"/>
    <mergeCell ref="R85:S85"/>
    <mergeCell ref="R107:S107"/>
    <mergeCell ref="R108:S108"/>
    <mergeCell ref="R109:S109"/>
    <mergeCell ref="P185:Q185"/>
    <mergeCell ref="P157:Q157"/>
    <mergeCell ref="P183:Q183"/>
    <mergeCell ref="P184:Q184"/>
    <mergeCell ref="P167:Q167"/>
    <mergeCell ref="P168:Q168"/>
    <mergeCell ref="P169:Q169"/>
    <mergeCell ref="P170:Q170"/>
    <mergeCell ref="P171:Q171"/>
    <mergeCell ref="P172:Q172"/>
    <mergeCell ref="P173:Q173"/>
    <mergeCell ref="P174:Q174"/>
    <mergeCell ref="P175:Q175"/>
    <mergeCell ref="R103:S103"/>
    <mergeCell ref="P176:Q176"/>
    <mergeCell ref="P177:Q177"/>
    <mergeCell ref="P178:Q178"/>
    <mergeCell ref="P158:Q158"/>
    <mergeCell ref="P159:Q159"/>
    <mergeCell ref="P160:Q160"/>
    <mergeCell ref="P161:Q161"/>
    <mergeCell ref="P162:Q162"/>
    <mergeCell ref="P163:Q163"/>
    <mergeCell ref="P164:Q164"/>
    <mergeCell ref="P165:Q165"/>
    <mergeCell ref="P166:Q166"/>
    <mergeCell ref="R104:S104"/>
    <mergeCell ref="R105:S105"/>
    <mergeCell ref="R106:S106"/>
    <mergeCell ref="R98:S98"/>
    <mergeCell ref="R99:S99"/>
    <mergeCell ref="R100:S100"/>
    <mergeCell ref="R101:S101"/>
    <mergeCell ref="R102:S102"/>
    <mergeCell ref="M1:N1"/>
    <mergeCell ref="P179:Q179"/>
    <mergeCell ref="P180:Q180"/>
    <mergeCell ref="P181:Q181"/>
    <mergeCell ref="P182:Q182"/>
    <mergeCell ref="B2:O2"/>
    <mergeCell ref="B3:O3"/>
    <mergeCell ref="D73:O73"/>
    <mergeCell ref="M4:N4"/>
    <mergeCell ref="C5:H5"/>
    <mergeCell ref="I5:N5"/>
    <mergeCell ref="C37:G37"/>
  </mergeCells>
  <phoneticPr fontId="4" type="noConversion"/>
  <pageMargins left="0" right="0" top="0" bottom="0" header="0" footer="0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P38"/>
  <sheetViews>
    <sheetView rightToLeft="1" view="pageBreakPreview" zoomScale="70" zoomScaleSheetLayoutView="70" workbookViewId="0">
      <selection activeCell="E3" sqref="E3:P3"/>
    </sheetView>
  </sheetViews>
  <sheetFormatPr baseColWidth="10" defaultRowHeight="12.75"/>
  <cols>
    <col min="1" max="1" width="2.85546875" customWidth="1"/>
    <col min="2" max="2" width="21.42578125" customWidth="1"/>
    <col min="4" max="4" width="12.85546875" customWidth="1"/>
    <col min="5" max="5" width="20.85546875" customWidth="1"/>
    <col min="6" max="6" width="21.42578125" customWidth="1"/>
    <col min="7" max="7" width="13.28515625" customWidth="1"/>
    <col min="9" max="9" width="13.28515625" bestFit="1" customWidth="1"/>
    <col min="10" max="10" width="25" customWidth="1"/>
    <col min="11" max="11" width="20.7109375" customWidth="1"/>
    <col min="12" max="12" width="12.42578125" customWidth="1"/>
    <col min="13" max="13" width="2.140625" customWidth="1"/>
  </cols>
  <sheetData>
    <row r="2" spans="2:16" ht="29.25" customHeight="1">
      <c r="K2" s="429" t="s">
        <v>121</v>
      </c>
      <c r="L2" s="429"/>
    </row>
    <row r="3" spans="2:16" ht="33.75">
      <c r="B3" s="370"/>
      <c r="C3" s="370"/>
      <c r="D3" s="370"/>
      <c r="E3" s="431" t="s">
        <v>90</v>
      </c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</row>
    <row r="4" spans="2:16" ht="18.75" thickBot="1">
      <c r="B4" s="144"/>
      <c r="C4" s="145"/>
      <c r="D4" s="145"/>
      <c r="E4" s="145"/>
      <c r="F4" s="146"/>
      <c r="G4" s="146"/>
      <c r="H4" s="147"/>
      <c r="I4" s="145"/>
      <c r="J4" s="145"/>
      <c r="K4" s="417" t="s">
        <v>77</v>
      </c>
      <c r="L4" s="417"/>
      <c r="M4" s="148"/>
    </row>
    <row r="5" spans="2:16" ht="18.75" thickBot="1">
      <c r="B5" s="216" t="s">
        <v>59</v>
      </c>
      <c r="C5" s="418" t="s">
        <v>74</v>
      </c>
      <c r="D5" s="418"/>
      <c r="E5" s="418"/>
      <c r="F5" s="418"/>
      <c r="G5" s="418"/>
      <c r="H5" s="418" t="s">
        <v>113</v>
      </c>
      <c r="I5" s="418"/>
      <c r="J5" s="418"/>
      <c r="K5" s="418"/>
      <c r="L5" s="418"/>
      <c r="M5" s="130"/>
    </row>
    <row r="6" spans="2:16" ht="36.75" thickBot="1">
      <c r="B6" s="217" t="s">
        <v>35</v>
      </c>
      <c r="C6" s="219" t="s">
        <v>0</v>
      </c>
      <c r="D6" s="219" t="s">
        <v>80</v>
      </c>
      <c r="E6" s="220" t="s">
        <v>88</v>
      </c>
      <c r="F6" s="219" t="s">
        <v>91</v>
      </c>
      <c r="G6" s="218" t="s">
        <v>37</v>
      </c>
      <c r="H6" s="219" t="s">
        <v>0</v>
      </c>
      <c r="I6" s="219" t="s">
        <v>80</v>
      </c>
      <c r="J6" s="220" t="s">
        <v>88</v>
      </c>
      <c r="K6" s="219" t="s">
        <v>91</v>
      </c>
      <c r="L6" s="218" t="s">
        <v>37</v>
      </c>
      <c r="M6" s="130"/>
    </row>
    <row r="7" spans="2:16" ht="20.25">
      <c r="B7" s="224" t="s">
        <v>66</v>
      </c>
      <c r="C7" s="268">
        <v>0</v>
      </c>
      <c r="D7" s="281"/>
      <c r="E7" s="282">
        <v>0</v>
      </c>
      <c r="F7" s="282">
        <v>0</v>
      </c>
      <c r="G7" s="270"/>
      <c r="H7" s="268">
        <v>3</v>
      </c>
      <c r="I7" s="281">
        <f>H7/'أساس الأداء في الطور الإبتدائي'!J7</f>
        <v>4.9180327868852458E-2</v>
      </c>
      <c r="J7" s="282">
        <v>4512104</v>
      </c>
      <c r="K7" s="282">
        <v>1444325</v>
      </c>
      <c r="L7" s="284">
        <f t="shared" ref="L7:L16" si="0">K7/J7</f>
        <v>0.32010011294065915</v>
      </c>
      <c r="M7" s="130"/>
    </row>
    <row r="8" spans="2:16" ht="25.5" customHeight="1">
      <c r="B8" s="225" t="s">
        <v>65</v>
      </c>
      <c r="C8" s="268">
        <v>0</v>
      </c>
      <c r="D8" s="281"/>
      <c r="E8" s="282">
        <v>0</v>
      </c>
      <c r="F8" s="282">
        <v>0</v>
      </c>
      <c r="G8" s="270"/>
      <c r="H8" s="268">
        <v>0</v>
      </c>
      <c r="I8" s="281"/>
      <c r="J8" s="282">
        <v>0</v>
      </c>
      <c r="K8" s="282">
        <v>0</v>
      </c>
      <c r="L8" s="269"/>
      <c r="M8" s="130"/>
    </row>
    <row r="9" spans="2:16" ht="20.25">
      <c r="B9" s="224" t="s">
        <v>2</v>
      </c>
      <c r="C9" s="268">
        <v>1</v>
      </c>
      <c r="D9" s="281">
        <f>C9/'أساس الأداء في الطور الإبتدائي'!D9</f>
        <v>2.3255813953488372E-2</v>
      </c>
      <c r="E9" s="282">
        <v>1000</v>
      </c>
      <c r="F9" s="282">
        <v>73</v>
      </c>
      <c r="G9" s="270">
        <f t="shared" ref="G9:G14" si="1">F9/E9</f>
        <v>7.2999999999999995E-2</v>
      </c>
      <c r="H9" s="268">
        <v>4</v>
      </c>
      <c r="I9" s="281">
        <f>H9/'أساس الأداء في الطور الإبتدائي'!J9</f>
        <v>3.5398230088495575E-2</v>
      </c>
      <c r="J9" s="282">
        <v>250381</v>
      </c>
      <c r="K9" s="282">
        <v>96832</v>
      </c>
      <c r="L9" s="269">
        <f t="shared" si="0"/>
        <v>0.3867386103578147</v>
      </c>
      <c r="M9" s="130"/>
    </row>
    <row r="10" spans="2:16" ht="20.25">
      <c r="B10" s="224" t="s">
        <v>3</v>
      </c>
      <c r="C10" s="268">
        <v>2</v>
      </c>
      <c r="D10" s="281">
        <f>C10/'أساس الأداء في الطور الإبتدائي'!D10</f>
        <v>6.0606060606060608E-2</v>
      </c>
      <c r="E10" s="282">
        <v>2480000</v>
      </c>
      <c r="F10" s="282">
        <v>434000</v>
      </c>
      <c r="G10" s="270">
        <f t="shared" si="1"/>
        <v>0.17499999999999999</v>
      </c>
      <c r="H10" s="268">
        <v>6</v>
      </c>
      <c r="I10" s="281">
        <f>H10/'أساس الأداء في الطور الإبتدائي'!J10</f>
        <v>0.11538461538461539</v>
      </c>
      <c r="J10" s="282">
        <v>1000572</v>
      </c>
      <c r="K10" s="282">
        <v>387949</v>
      </c>
      <c r="L10" s="269">
        <f t="shared" si="0"/>
        <v>0.38772722003014276</v>
      </c>
      <c r="M10" s="130"/>
    </row>
    <row r="11" spans="2:16" ht="20.25">
      <c r="B11" s="224" t="s">
        <v>68</v>
      </c>
      <c r="C11" s="268">
        <v>2</v>
      </c>
      <c r="D11" s="281">
        <f>C11/'أساس الأداء في الطور الإبتدائي'!D11</f>
        <v>7.6923076923076927E-2</v>
      </c>
      <c r="E11" s="282">
        <v>105846</v>
      </c>
      <c r="F11" s="282">
        <v>12986</v>
      </c>
      <c r="G11" s="270">
        <f t="shared" si="1"/>
        <v>0.12268767832511385</v>
      </c>
      <c r="H11" s="268">
        <v>3</v>
      </c>
      <c r="I11" s="281">
        <f>H11/'أساس الأداء في الطور الإبتدائي'!J11</f>
        <v>8.8235294117647065E-2</v>
      </c>
      <c r="J11" s="282">
        <v>731957</v>
      </c>
      <c r="K11" s="282">
        <v>302956</v>
      </c>
      <c r="L11" s="269">
        <f t="shared" si="0"/>
        <v>0.4138986306572654</v>
      </c>
      <c r="M11" s="130"/>
    </row>
    <row r="12" spans="2:16" ht="20.25">
      <c r="B12" s="224" t="s">
        <v>4</v>
      </c>
      <c r="C12" s="268">
        <v>3</v>
      </c>
      <c r="D12" s="281">
        <f>C12/'أساس الأداء في الطور الإبتدائي'!D12</f>
        <v>0.10714285714285714</v>
      </c>
      <c r="E12" s="282">
        <v>2226319</v>
      </c>
      <c r="F12" s="282">
        <v>1262748</v>
      </c>
      <c r="G12" s="270">
        <f t="shared" si="1"/>
        <v>0.5671909551146983</v>
      </c>
      <c r="H12" s="268">
        <v>7</v>
      </c>
      <c r="I12" s="281">
        <f>H12/'أساس الأداء في الطور الإبتدائي'!J12</f>
        <v>0.1891891891891892</v>
      </c>
      <c r="J12" s="282">
        <v>777067</v>
      </c>
      <c r="K12" s="282">
        <v>133367</v>
      </c>
      <c r="L12" s="269">
        <f t="shared" si="0"/>
        <v>0.17162870125742052</v>
      </c>
      <c r="M12" s="130"/>
    </row>
    <row r="13" spans="2:16" ht="20.25">
      <c r="B13" s="224" t="s">
        <v>5</v>
      </c>
      <c r="C13" s="268">
        <v>2</v>
      </c>
      <c r="D13" s="281">
        <f>C13/'أساس الأداء في الطور الإبتدائي'!D13</f>
        <v>3.3898305084745763E-2</v>
      </c>
      <c r="E13" s="282">
        <v>36000</v>
      </c>
      <c r="F13" s="282">
        <v>27000</v>
      </c>
      <c r="G13" s="270">
        <f t="shared" si="1"/>
        <v>0.75</v>
      </c>
      <c r="H13" s="268">
        <v>8</v>
      </c>
      <c r="I13" s="281">
        <f>H13/'أساس الأداء في الطور الإبتدائي'!J13</f>
        <v>6.6666666666666666E-2</v>
      </c>
      <c r="J13" s="282">
        <v>1070060</v>
      </c>
      <c r="K13" s="282">
        <v>306826</v>
      </c>
      <c r="L13" s="269">
        <f t="shared" si="0"/>
        <v>0.28673719230697342</v>
      </c>
      <c r="M13" s="130"/>
    </row>
    <row r="14" spans="2:16" ht="20.25">
      <c r="B14" s="224" t="s">
        <v>6</v>
      </c>
      <c r="C14" s="268">
        <v>4</v>
      </c>
      <c r="D14" s="281">
        <f>C14/'أساس الأداء في الطور الإبتدائي'!D14</f>
        <v>0.16666666666666666</v>
      </c>
      <c r="E14" s="282">
        <v>270000</v>
      </c>
      <c r="F14" s="282">
        <v>83000</v>
      </c>
      <c r="G14" s="270">
        <f t="shared" si="1"/>
        <v>0.30740740740740741</v>
      </c>
      <c r="H14" s="268">
        <v>0</v>
      </c>
      <c r="I14" s="281">
        <f>H14/'أساس الأداء في الطور الإبتدائي'!J14</f>
        <v>0</v>
      </c>
      <c r="J14" s="282">
        <v>0</v>
      </c>
      <c r="K14" s="282">
        <v>0</v>
      </c>
      <c r="L14" s="269"/>
      <c r="M14" s="130"/>
    </row>
    <row r="15" spans="2:16" ht="20.25">
      <c r="B15" s="224" t="s">
        <v>7</v>
      </c>
      <c r="C15" s="268"/>
      <c r="D15" s="281"/>
      <c r="E15" s="282">
        <v>0</v>
      </c>
      <c r="F15" s="282">
        <v>0</v>
      </c>
      <c r="G15" s="270"/>
      <c r="H15" s="268">
        <v>19</v>
      </c>
      <c r="I15" s="281">
        <f>H15/'أساس الأداء في الطور الإبتدائي'!J15</f>
        <v>0.1366906474820144</v>
      </c>
      <c r="J15" s="282">
        <v>1887409.4509999999</v>
      </c>
      <c r="K15" s="282">
        <v>1198902.0519999999</v>
      </c>
      <c r="L15" s="269">
        <f t="shared" si="0"/>
        <v>0.63521036803370334</v>
      </c>
      <c r="M15" s="130"/>
    </row>
    <row r="16" spans="2:16" ht="20.25">
      <c r="B16" s="224" t="s">
        <v>71</v>
      </c>
      <c r="C16" s="268">
        <v>2</v>
      </c>
      <c r="D16" s="281">
        <f>C16/'أساس الأداء في الطور الإبتدائي'!D16</f>
        <v>0.66666666666666663</v>
      </c>
      <c r="E16" s="282">
        <v>268624</v>
      </c>
      <c r="F16" s="282">
        <v>116650</v>
      </c>
      <c r="G16" s="270">
        <f>F16/E16</f>
        <v>0.43425010423491572</v>
      </c>
      <c r="H16" s="268">
        <v>9</v>
      </c>
      <c r="I16" s="281">
        <f>H16/'أساس الأداء في الطور الإبتدائي'!J16</f>
        <v>0.36</v>
      </c>
      <c r="J16" s="282">
        <v>430837</v>
      </c>
      <c r="K16" s="282">
        <v>145114</v>
      </c>
      <c r="L16" s="269">
        <f t="shared" si="0"/>
        <v>0.33681879689998767</v>
      </c>
      <c r="M16" s="130"/>
    </row>
    <row r="17" spans="2:13" ht="20.25">
      <c r="B17" s="224" t="s">
        <v>72</v>
      </c>
      <c r="C17" s="268"/>
      <c r="D17" s="281"/>
      <c r="E17" s="282">
        <v>0</v>
      </c>
      <c r="F17" s="282">
        <v>0</v>
      </c>
      <c r="G17" s="270"/>
      <c r="H17" s="268">
        <v>0</v>
      </c>
      <c r="I17" s="281"/>
      <c r="J17" s="282">
        <v>0</v>
      </c>
      <c r="K17" s="282">
        <v>0</v>
      </c>
      <c r="L17" s="269"/>
      <c r="M17" s="130"/>
    </row>
    <row r="18" spans="2:13" ht="20.25">
      <c r="B18" s="224" t="s">
        <v>8</v>
      </c>
      <c r="C18" s="268"/>
      <c r="D18" s="281"/>
      <c r="E18" s="282">
        <v>0</v>
      </c>
      <c r="F18" s="282">
        <v>0</v>
      </c>
      <c r="G18" s="270"/>
      <c r="H18" s="268">
        <v>4</v>
      </c>
      <c r="I18" s="281">
        <f>H18/'أساس الأداء في الطور الإبتدائي'!J18</f>
        <v>4.4444444444444446E-2</v>
      </c>
      <c r="J18" s="282">
        <v>11420</v>
      </c>
      <c r="K18" s="282">
        <v>7853</v>
      </c>
      <c r="L18" s="269">
        <f t="shared" ref="L18:L35" si="2">K18/J18</f>
        <v>0.68765323992994742</v>
      </c>
      <c r="M18" s="130"/>
    </row>
    <row r="19" spans="2:13" ht="20.25">
      <c r="B19" s="224" t="s">
        <v>9</v>
      </c>
      <c r="C19" s="268">
        <v>4</v>
      </c>
      <c r="D19" s="281">
        <f>C19/'أساس الأداء في الطور الإبتدائي'!D19</f>
        <v>0.21052631578947367</v>
      </c>
      <c r="E19" s="282">
        <v>127890</v>
      </c>
      <c r="F19" s="282">
        <v>94730</v>
      </c>
      <c r="G19" s="270">
        <f>F19/E19</f>
        <v>0.7407146766752678</v>
      </c>
      <c r="H19" s="268">
        <v>15</v>
      </c>
      <c r="I19" s="281">
        <f>H19/'أساس الأداء في الطور الإبتدائي'!J19</f>
        <v>0.34883720930232559</v>
      </c>
      <c r="J19" s="282">
        <v>2084429.5430000001</v>
      </c>
      <c r="K19" s="282">
        <v>519396.29</v>
      </c>
      <c r="L19" s="269">
        <f t="shared" si="2"/>
        <v>0.24917910597854157</v>
      </c>
      <c r="M19" s="130"/>
    </row>
    <row r="20" spans="2:13" ht="20.25">
      <c r="B20" s="224" t="s">
        <v>10</v>
      </c>
      <c r="C20" s="268">
        <v>1</v>
      </c>
      <c r="D20" s="281">
        <f>C20/'أساس الأداء في الطور الإبتدائي'!D20</f>
        <v>5.5555555555555552E-2</v>
      </c>
      <c r="E20" s="282">
        <v>398370</v>
      </c>
      <c r="F20" s="282">
        <v>161446</v>
      </c>
      <c r="G20" s="270">
        <f>F20/E20</f>
        <v>0.4052664608278736</v>
      </c>
      <c r="H20" s="268">
        <v>10</v>
      </c>
      <c r="I20" s="281">
        <f>H20/'أساس الأداء في الطور الإبتدائي'!J20</f>
        <v>0.13513513513513514</v>
      </c>
      <c r="J20" s="282">
        <v>1190461</v>
      </c>
      <c r="K20" s="282">
        <v>662576</v>
      </c>
      <c r="L20" s="269">
        <f t="shared" si="2"/>
        <v>0.55657094184521794</v>
      </c>
      <c r="M20" s="130"/>
    </row>
    <row r="21" spans="2:13" s="62" customFormat="1" ht="20.25">
      <c r="B21" s="224" t="s">
        <v>11</v>
      </c>
      <c r="C21" s="268">
        <v>3</v>
      </c>
      <c r="D21" s="281">
        <f>C21/'أساس الأداء في الطور الإبتدائي'!D21</f>
        <v>0.2</v>
      </c>
      <c r="E21" s="282">
        <v>7241</v>
      </c>
      <c r="F21" s="282">
        <v>2175</v>
      </c>
      <c r="G21" s="270">
        <f>F21/E21</f>
        <v>0.30037287667449247</v>
      </c>
      <c r="H21" s="268">
        <v>8</v>
      </c>
      <c r="I21" s="281">
        <f>H21/'أساس الأداء في الطور الإبتدائي'!J21</f>
        <v>0.38095238095238093</v>
      </c>
      <c r="J21" s="282">
        <v>938028</v>
      </c>
      <c r="K21" s="282">
        <v>272574</v>
      </c>
      <c r="L21" s="269">
        <f t="shared" si="2"/>
        <v>0.29058194424899897</v>
      </c>
      <c r="M21" s="130"/>
    </row>
    <row r="22" spans="2:13" ht="20.25">
      <c r="B22" s="224" t="s">
        <v>12</v>
      </c>
      <c r="C22" s="268">
        <v>2</v>
      </c>
      <c r="D22" s="281">
        <f>C22/'أساس الأداء في الطور الإبتدائي'!D22</f>
        <v>0.1</v>
      </c>
      <c r="E22" s="282">
        <v>106670</v>
      </c>
      <c r="F22" s="282">
        <v>58664</v>
      </c>
      <c r="G22" s="270">
        <f>F22/E22</f>
        <v>0.54995781381831821</v>
      </c>
      <c r="H22" s="268">
        <v>4</v>
      </c>
      <c r="I22" s="281">
        <f>H22/'أساس الأداء في الطور الإبتدائي'!J22</f>
        <v>0.14814814814814814</v>
      </c>
      <c r="J22" s="282">
        <v>373880</v>
      </c>
      <c r="K22" s="282">
        <v>127604</v>
      </c>
      <c r="L22" s="269">
        <f t="shared" si="2"/>
        <v>0.34129667272921793</v>
      </c>
      <c r="M22" s="130"/>
    </row>
    <row r="23" spans="2:13" ht="20.25">
      <c r="B23" s="224" t="s">
        <v>13</v>
      </c>
      <c r="C23" s="268"/>
      <c r="D23" s="281"/>
      <c r="E23" s="282"/>
      <c r="F23" s="282"/>
      <c r="G23" s="270"/>
      <c r="H23" s="268">
        <v>5</v>
      </c>
      <c r="I23" s="281">
        <f>H23/'أساس الأداء في الطور الإبتدائي'!J23</f>
        <v>0.5</v>
      </c>
      <c r="J23" s="282">
        <v>232716</v>
      </c>
      <c r="K23" s="282">
        <v>85756</v>
      </c>
      <c r="L23" s="269">
        <f t="shared" si="2"/>
        <v>0.36850066175080354</v>
      </c>
      <c r="M23" s="130"/>
    </row>
    <row r="24" spans="2:13" ht="20.25">
      <c r="B24" s="224" t="s">
        <v>14</v>
      </c>
      <c r="C24" s="268">
        <v>2</v>
      </c>
      <c r="D24" s="281">
        <f>C24/'أساس الأداء في الطور الإبتدائي'!D24</f>
        <v>0.13333333333333333</v>
      </c>
      <c r="E24" s="282">
        <v>32475</v>
      </c>
      <c r="F24" s="282">
        <v>32475</v>
      </c>
      <c r="G24" s="270">
        <f>F24/E24</f>
        <v>1</v>
      </c>
      <c r="H24" s="268">
        <v>0</v>
      </c>
      <c r="I24" s="281"/>
      <c r="J24" s="282">
        <v>0</v>
      </c>
      <c r="K24" s="282">
        <v>0</v>
      </c>
      <c r="L24" s="269"/>
      <c r="M24" s="130"/>
    </row>
    <row r="25" spans="2:13" ht="20.25">
      <c r="B25" s="224" t="s">
        <v>15</v>
      </c>
      <c r="C25" s="268"/>
      <c r="D25" s="281"/>
      <c r="E25" s="282"/>
      <c r="F25" s="282"/>
      <c r="G25" s="270"/>
      <c r="H25" s="268">
        <v>25</v>
      </c>
      <c r="I25" s="281">
        <f>H25/'أساس الأداء في الطور الإبتدائي'!J25</f>
        <v>0.41666666666666669</v>
      </c>
      <c r="J25" s="282">
        <v>787213</v>
      </c>
      <c r="K25" s="282">
        <v>317513</v>
      </c>
      <c r="L25" s="269">
        <f t="shared" si="2"/>
        <v>0.40333810544287252</v>
      </c>
      <c r="M25" s="130"/>
    </row>
    <row r="26" spans="2:13" ht="20.25">
      <c r="B26" s="224" t="s">
        <v>16</v>
      </c>
      <c r="C26" s="268">
        <v>2</v>
      </c>
      <c r="D26" s="281">
        <f>C26/'أساس الأداء في الطور الإبتدائي'!D26</f>
        <v>0.66666666666666663</v>
      </c>
      <c r="E26" s="282">
        <v>161570</v>
      </c>
      <c r="F26" s="282">
        <v>61786</v>
      </c>
      <c r="G26" s="270">
        <f>F26/E26</f>
        <v>0.38241010088506527</v>
      </c>
      <c r="H26" s="268">
        <v>4</v>
      </c>
      <c r="I26" s="281">
        <f>H26/'أساس الأداء في الطور الإبتدائي'!J26</f>
        <v>0.30769230769230771</v>
      </c>
      <c r="J26" s="282">
        <v>30775</v>
      </c>
      <c r="K26" s="282">
        <v>17943</v>
      </c>
      <c r="L26" s="269">
        <f t="shared" si="2"/>
        <v>0.58303818034118604</v>
      </c>
      <c r="M26" s="130"/>
    </row>
    <row r="27" spans="2:13" ht="20.25">
      <c r="B27" s="224" t="s">
        <v>17</v>
      </c>
      <c r="C27" s="268">
        <v>1</v>
      </c>
      <c r="D27" s="281">
        <f>C27/'أساس الأداء في الطور الإبتدائي'!D27</f>
        <v>6.6666666666666666E-2</v>
      </c>
      <c r="E27" s="282">
        <v>413704</v>
      </c>
      <c r="F27" s="282">
        <v>137000</v>
      </c>
      <c r="G27" s="270">
        <f>F27/E27</f>
        <v>0.33115464196623673</v>
      </c>
      <c r="H27" s="268">
        <v>6</v>
      </c>
      <c r="I27" s="281">
        <f>H27/'أساس الأداء في الطور الإبتدائي'!J27</f>
        <v>0.1276595744680851</v>
      </c>
      <c r="J27" s="282">
        <v>299976.038</v>
      </c>
      <c r="K27" s="282">
        <v>244127.3</v>
      </c>
      <c r="L27" s="269">
        <f t="shared" si="2"/>
        <v>0.81382266939601355</v>
      </c>
      <c r="M27" s="130"/>
    </row>
    <row r="28" spans="2:13" ht="20.25">
      <c r="B28" s="224" t="s">
        <v>18</v>
      </c>
      <c r="C28" s="268">
        <v>0</v>
      </c>
      <c r="D28" s="281"/>
      <c r="E28" s="282">
        <v>0</v>
      </c>
      <c r="F28" s="282">
        <v>0</v>
      </c>
      <c r="G28" s="270"/>
      <c r="H28" s="268">
        <v>0</v>
      </c>
      <c r="I28" s="281">
        <f>H28/'أساس الأداء في الطور الإبتدائي'!J28</f>
        <v>0</v>
      </c>
      <c r="J28" s="282">
        <v>0</v>
      </c>
      <c r="K28" s="282">
        <v>0</v>
      </c>
      <c r="L28" s="269"/>
      <c r="M28" s="130"/>
    </row>
    <row r="29" spans="2:13" ht="20.25">
      <c r="B29" s="224" t="s">
        <v>19</v>
      </c>
      <c r="C29" s="268">
        <v>0</v>
      </c>
      <c r="D29" s="281"/>
      <c r="E29" s="282">
        <v>0</v>
      </c>
      <c r="F29" s="282">
        <v>0</v>
      </c>
      <c r="G29" s="270"/>
      <c r="H29" s="268">
        <v>0</v>
      </c>
      <c r="I29" s="281">
        <f>H29/'أساس الأداء في الطور الإبتدائي'!J29</f>
        <v>0</v>
      </c>
      <c r="J29" s="282">
        <v>0</v>
      </c>
      <c r="K29" s="282">
        <v>0</v>
      </c>
      <c r="L29" s="269"/>
      <c r="M29" s="130"/>
    </row>
    <row r="30" spans="2:13" ht="20.25">
      <c r="B30" s="224" t="s">
        <v>20</v>
      </c>
      <c r="C30" s="268">
        <v>0</v>
      </c>
      <c r="D30" s="281"/>
      <c r="E30" s="282">
        <v>0</v>
      </c>
      <c r="F30" s="282">
        <v>0</v>
      </c>
      <c r="G30" s="270"/>
      <c r="H30" s="268">
        <v>0</v>
      </c>
      <c r="I30" s="281"/>
      <c r="J30" s="282">
        <v>0</v>
      </c>
      <c r="K30" s="282">
        <v>0</v>
      </c>
      <c r="L30" s="269"/>
      <c r="M30" s="130"/>
    </row>
    <row r="31" spans="2:13" ht="20.25">
      <c r="B31" s="224" t="s">
        <v>21</v>
      </c>
      <c r="C31" s="268">
        <v>0</v>
      </c>
      <c r="D31" s="281"/>
      <c r="E31" s="282">
        <v>0</v>
      </c>
      <c r="F31" s="282">
        <v>0</v>
      </c>
      <c r="G31" s="270"/>
      <c r="H31" s="268">
        <v>4</v>
      </c>
      <c r="I31" s="281">
        <f>H31/'أساس الأداء في الطور الإبتدائي'!J31</f>
        <v>0.33333333333333331</v>
      </c>
      <c r="J31" s="282">
        <v>65521.444000000003</v>
      </c>
      <c r="K31" s="282">
        <v>35485.347999999998</v>
      </c>
      <c r="L31" s="269">
        <f t="shared" si="2"/>
        <v>0.54158372944283706</v>
      </c>
      <c r="M31" s="130"/>
    </row>
    <row r="32" spans="2:13" ht="20.25">
      <c r="B32" s="224" t="s">
        <v>22</v>
      </c>
      <c r="C32" s="268">
        <v>0</v>
      </c>
      <c r="D32" s="281"/>
      <c r="E32" s="282">
        <v>0</v>
      </c>
      <c r="F32" s="282">
        <v>0</v>
      </c>
      <c r="G32" s="270"/>
      <c r="H32" s="268">
        <v>10</v>
      </c>
      <c r="I32" s="281">
        <f>H32/'أساس الأداء في الطور الإبتدائي'!J32</f>
        <v>0.55555555555555558</v>
      </c>
      <c r="J32" s="282">
        <v>1047647</v>
      </c>
      <c r="K32" s="282">
        <v>322302</v>
      </c>
      <c r="L32" s="269">
        <f t="shared" si="2"/>
        <v>0.30764370059762497</v>
      </c>
      <c r="M32" s="130"/>
    </row>
    <row r="33" spans="2:13" ht="20.25">
      <c r="B33" s="224" t="s">
        <v>23</v>
      </c>
      <c r="C33" s="268">
        <v>0</v>
      </c>
      <c r="D33" s="281"/>
      <c r="E33" s="282">
        <v>0</v>
      </c>
      <c r="F33" s="282">
        <v>0</v>
      </c>
      <c r="G33" s="270"/>
      <c r="H33" s="268">
        <v>0</v>
      </c>
      <c r="I33" s="281"/>
      <c r="J33" s="282">
        <v>0</v>
      </c>
      <c r="K33" s="282">
        <v>0</v>
      </c>
      <c r="L33" s="269"/>
      <c r="M33" s="130"/>
    </row>
    <row r="34" spans="2:13" ht="20.25">
      <c r="B34" s="224" t="s">
        <v>24</v>
      </c>
      <c r="C34" s="268">
        <v>0</v>
      </c>
      <c r="D34" s="281"/>
      <c r="E34" s="282">
        <v>0</v>
      </c>
      <c r="F34" s="282">
        <v>0</v>
      </c>
      <c r="G34" s="270"/>
      <c r="H34" s="268">
        <v>0</v>
      </c>
      <c r="I34" s="281"/>
      <c r="J34" s="282">
        <v>0</v>
      </c>
      <c r="K34" s="282">
        <v>0</v>
      </c>
      <c r="L34" s="269"/>
      <c r="M34" s="130"/>
    </row>
    <row r="35" spans="2:13" ht="21" thickBot="1">
      <c r="B35" s="224" t="s">
        <v>25</v>
      </c>
      <c r="C35" s="268">
        <v>0</v>
      </c>
      <c r="D35" s="281"/>
      <c r="E35" s="282">
        <v>0</v>
      </c>
      <c r="F35" s="282">
        <v>0</v>
      </c>
      <c r="G35" s="270"/>
      <c r="H35" s="268">
        <v>1</v>
      </c>
      <c r="I35" s="281">
        <f>H35/'أساس الأداء في الطور الإبتدائي'!J35</f>
        <v>0.25</v>
      </c>
      <c r="J35" s="282">
        <v>8541.9169999999995</v>
      </c>
      <c r="K35" s="283">
        <v>5807.0940000000001</v>
      </c>
      <c r="L35" s="269">
        <f t="shared" si="2"/>
        <v>0.67983498317766378</v>
      </c>
      <c r="M35" s="130"/>
    </row>
    <row r="36" spans="2:13" ht="21" thickBot="1">
      <c r="B36" s="217" t="s">
        <v>34</v>
      </c>
      <c r="C36" s="221">
        <f>SUM(C7:C35)</f>
        <v>31</v>
      </c>
      <c r="D36" s="258">
        <f>C36/'أساس الأداء في الطور الإبتدائي'!D36</f>
        <v>6.8131868131868126E-2</v>
      </c>
      <c r="E36" s="222">
        <f>SUM(E7:E35)</f>
        <v>6635709</v>
      </c>
      <c r="F36" s="222">
        <f>SUM(F7:F35)</f>
        <v>2484733</v>
      </c>
      <c r="G36" s="258">
        <f>F36/E36</f>
        <v>0.37444875897963581</v>
      </c>
      <c r="H36" s="221">
        <f>SUM(H7:H35)</f>
        <v>155</v>
      </c>
      <c r="I36" s="258">
        <f>H36/'أساس الأداء في الطور الإبتدائي'!J36</f>
        <v>0.14567669172932332</v>
      </c>
      <c r="J36" s="222">
        <f>SUM(J7:J35)</f>
        <v>17730996.392999999</v>
      </c>
      <c r="K36" s="222">
        <f>SUM(K7:K35)</f>
        <v>6635208.0839999998</v>
      </c>
      <c r="L36" s="258">
        <f>K36/J36</f>
        <v>0.37421518435475554</v>
      </c>
      <c r="M36" s="130"/>
    </row>
    <row r="37" spans="2:13" ht="6.75" customHeight="1">
      <c r="B37" s="155"/>
      <c r="C37" s="422"/>
      <c r="D37" s="422"/>
      <c r="E37" s="422"/>
      <c r="F37" s="422"/>
      <c r="G37" s="422"/>
    </row>
    <row r="38" spans="2:13" ht="18">
      <c r="B38" s="326" t="s">
        <v>36</v>
      </c>
      <c r="C38" s="430" t="s">
        <v>118</v>
      </c>
      <c r="D38" s="430"/>
      <c r="E38" s="430"/>
      <c r="F38" s="430"/>
      <c r="G38" s="430"/>
      <c r="H38" s="430"/>
    </row>
  </sheetData>
  <mergeCells count="7">
    <mergeCell ref="K2:L2"/>
    <mergeCell ref="C38:H38"/>
    <mergeCell ref="H5:L5"/>
    <mergeCell ref="E3:P3"/>
    <mergeCell ref="K4:L4"/>
    <mergeCell ref="C5:G5"/>
    <mergeCell ref="C37:G37"/>
  </mergeCells>
  <pageMargins left="0.19685039370078741" right="0.19685039370078741" top="0.27559055118110237" bottom="0.19685039370078741" header="0.19685039370078741" footer="0.19685039370078741"/>
  <pageSetup paperSize="9" scale="74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8"/>
  <sheetViews>
    <sheetView rightToLeft="1" view="pageBreakPreview" zoomScale="60" workbookViewId="0">
      <selection activeCell="A3" sqref="A3:H3"/>
    </sheetView>
  </sheetViews>
  <sheetFormatPr baseColWidth="10" defaultRowHeight="12.75"/>
  <cols>
    <col min="1" max="1" width="17.140625" customWidth="1"/>
    <col min="2" max="2" width="6.140625" customWidth="1"/>
    <col min="3" max="3" width="11" customWidth="1"/>
    <col min="4" max="4" width="17.140625" customWidth="1"/>
    <col min="5" max="5" width="7.28515625" customWidth="1"/>
    <col min="6" max="6" width="10.140625" customWidth="1"/>
    <col min="7" max="7" width="21.140625" customWidth="1"/>
    <col min="8" max="8" width="4.42578125" customWidth="1"/>
  </cols>
  <sheetData>
    <row r="1" spans="1:8" ht="30" customHeight="1">
      <c r="A1" s="142"/>
      <c r="B1" s="149"/>
      <c r="C1" s="149"/>
      <c r="D1" s="149"/>
      <c r="E1" s="150"/>
      <c r="F1" s="151"/>
      <c r="G1" s="429" t="s">
        <v>122</v>
      </c>
      <c r="H1" s="429"/>
    </row>
    <row r="2" spans="1:8" ht="31.5" customHeight="1">
      <c r="A2" s="432"/>
      <c r="B2" s="432"/>
      <c r="C2" s="432"/>
      <c r="D2" s="432"/>
      <c r="E2" s="432"/>
      <c r="F2" s="432"/>
      <c r="G2" s="432"/>
      <c r="H2" s="432"/>
    </row>
    <row r="3" spans="1:8" ht="51" customHeight="1">
      <c r="A3" s="432" t="s">
        <v>87</v>
      </c>
      <c r="B3" s="432"/>
      <c r="C3" s="432"/>
      <c r="D3" s="432"/>
      <c r="E3" s="432"/>
      <c r="F3" s="432"/>
      <c r="G3" s="432"/>
      <c r="H3" s="432"/>
    </row>
    <row r="4" spans="1:8" ht="21.75" customHeight="1" thickBot="1">
      <c r="A4" s="142"/>
      <c r="B4" s="149"/>
      <c r="C4" s="149"/>
      <c r="D4" s="149"/>
      <c r="E4" s="141"/>
      <c r="F4" s="152"/>
      <c r="G4" s="226" t="s">
        <v>77</v>
      </c>
      <c r="H4" s="143"/>
    </row>
    <row r="5" spans="1:8" ht="16.5" thickBot="1">
      <c r="A5" s="213" t="s">
        <v>59</v>
      </c>
      <c r="B5" s="433" t="s">
        <v>74</v>
      </c>
      <c r="C5" s="433"/>
      <c r="D5" s="433"/>
      <c r="E5" s="433" t="s">
        <v>113</v>
      </c>
      <c r="F5" s="433"/>
      <c r="G5" s="433"/>
      <c r="H5" s="153"/>
    </row>
    <row r="6" spans="1:8" ht="16.5" customHeight="1" thickBot="1">
      <c r="A6" s="227" t="s">
        <v>83</v>
      </c>
      <c r="B6" s="228" t="s">
        <v>0</v>
      </c>
      <c r="C6" s="228" t="s">
        <v>80</v>
      </c>
      <c r="D6" s="229" t="s">
        <v>88</v>
      </c>
      <c r="E6" s="228" t="s">
        <v>0</v>
      </c>
      <c r="F6" s="228" t="s">
        <v>80</v>
      </c>
      <c r="G6" s="229" t="s">
        <v>88</v>
      </c>
      <c r="H6" s="141"/>
    </row>
    <row r="7" spans="1:8" ht="31.5" customHeight="1">
      <c r="A7" s="232" t="s">
        <v>66</v>
      </c>
      <c r="B7" s="314">
        <v>13</v>
      </c>
      <c r="C7" s="315">
        <f>B7/'أساس الأداء في الطور الإبتدائي'!D7</f>
        <v>0.61904761904761907</v>
      </c>
      <c r="D7" s="316">
        <v>37230000</v>
      </c>
      <c r="E7" s="322">
        <v>29</v>
      </c>
      <c r="F7" s="315">
        <f>E7/'أساس الأداء في الطور الإبتدائي'!J7</f>
        <v>0.47540983606557374</v>
      </c>
      <c r="G7" s="316">
        <v>45847270</v>
      </c>
      <c r="H7" s="141"/>
    </row>
    <row r="8" spans="1:8" ht="32.25" customHeight="1">
      <c r="A8" s="327" t="s">
        <v>65</v>
      </c>
      <c r="B8" s="317"/>
      <c r="C8" s="271"/>
      <c r="D8" s="318"/>
      <c r="E8" s="323">
        <v>1</v>
      </c>
      <c r="F8" s="271">
        <f>E8/'أساس الأداء في الطور الإبتدائي'!J8</f>
        <v>0.5</v>
      </c>
      <c r="G8" s="318">
        <v>70405</v>
      </c>
      <c r="H8" s="141"/>
    </row>
    <row r="9" spans="1:8" ht="15">
      <c r="A9" s="212" t="s">
        <v>2</v>
      </c>
      <c r="B9" s="317">
        <v>12</v>
      </c>
      <c r="C9" s="271">
        <f>B9/'أساس الأداء في الطور الإبتدائي'!D9</f>
        <v>0.27906976744186046</v>
      </c>
      <c r="D9" s="318">
        <v>457000</v>
      </c>
      <c r="E9" s="323">
        <v>35</v>
      </c>
      <c r="F9" s="271">
        <f>E9/'أساس الأداء في الطور الإبتدائي'!J9</f>
        <v>0.30973451327433627</v>
      </c>
      <c r="G9" s="318">
        <v>2879902</v>
      </c>
      <c r="H9" s="141"/>
    </row>
    <row r="10" spans="1:8" ht="15">
      <c r="A10" s="212" t="s">
        <v>3</v>
      </c>
      <c r="B10" s="317">
        <v>9</v>
      </c>
      <c r="C10" s="271">
        <f>B10/'أساس الأداء في الطور الإبتدائي'!D10</f>
        <v>0.27272727272727271</v>
      </c>
      <c r="D10" s="318">
        <v>1174000</v>
      </c>
      <c r="E10" s="323">
        <v>19</v>
      </c>
      <c r="F10" s="271">
        <f>E10/'أساس الأداء في الطور الإبتدائي'!J10</f>
        <v>0.36538461538461536</v>
      </c>
      <c r="G10" s="318">
        <v>33276000</v>
      </c>
      <c r="H10" s="141"/>
    </row>
    <row r="11" spans="1:8" ht="15">
      <c r="A11" s="212" t="s">
        <v>68</v>
      </c>
      <c r="B11" s="317">
        <v>14</v>
      </c>
      <c r="C11" s="271">
        <f>B11/'أساس الأداء في الطور الإبتدائي'!D11</f>
        <v>0.53846153846153844</v>
      </c>
      <c r="D11" s="318">
        <v>97666513</v>
      </c>
      <c r="E11" s="323">
        <v>17</v>
      </c>
      <c r="F11" s="271">
        <f>E11/'أساس الأداء في الطور الإبتدائي'!J11</f>
        <v>0.5</v>
      </c>
      <c r="G11" s="318">
        <v>4981169</v>
      </c>
      <c r="H11" s="141"/>
    </row>
    <row r="12" spans="1:8" ht="15">
      <c r="A12" s="212" t="s">
        <v>4</v>
      </c>
      <c r="B12" s="317">
        <v>11</v>
      </c>
      <c r="C12" s="271">
        <f>B12/'أساس الأداء في الطور الإبتدائي'!D12</f>
        <v>0.39285714285714285</v>
      </c>
      <c r="D12" s="318">
        <v>3766220</v>
      </c>
      <c r="E12" s="323">
        <v>10</v>
      </c>
      <c r="F12" s="271">
        <f>E12/'أساس الأداء في الطور الإبتدائي'!J12</f>
        <v>0.27027027027027029</v>
      </c>
      <c r="G12" s="318">
        <v>1286822</v>
      </c>
      <c r="H12" s="141"/>
    </row>
    <row r="13" spans="1:8" ht="15">
      <c r="A13" s="212" t="s">
        <v>5</v>
      </c>
      <c r="B13" s="317">
        <v>21</v>
      </c>
      <c r="C13" s="271">
        <f>B13/'أساس الأداء في الطور الإبتدائي'!D13</f>
        <v>0.3559322033898305</v>
      </c>
      <c r="D13" s="318">
        <v>386000</v>
      </c>
      <c r="E13" s="323">
        <v>47</v>
      </c>
      <c r="F13" s="271">
        <f>E13/'أساس الأداء في الطور الإبتدائي'!J13</f>
        <v>0.39166666666666666</v>
      </c>
      <c r="G13" s="318">
        <v>5149636</v>
      </c>
      <c r="H13" s="141"/>
    </row>
    <row r="14" spans="1:8" ht="15">
      <c r="A14" s="212" t="s">
        <v>6</v>
      </c>
      <c r="B14" s="317">
        <v>16</v>
      </c>
      <c r="C14" s="271">
        <f>B14/'أساس الأداء في الطور الإبتدائي'!D14</f>
        <v>0.66666666666666663</v>
      </c>
      <c r="D14" s="318">
        <v>4434000</v>
      </c>
      <c r="E14" s="323">
        <v>17</v>
      </c>
      <c r="F14" s="271">
        <f>E14/'أساس الأداء في الطور الإبتدائي'!J14</f>
        <v>0.51515151515151514</v>
      </c>
      <c r="G14" s="318">
        <v>49694.902999999998</v>
      </c>
      <c r="H14" s="141"/>
    </row>
    <row r="15" spans="1:8" ht="15">
      <c r="A15" s="212" t="s">
        <v>7</v>
      </c>
      <c r="B15" s="317">
        <v>15</v>
      </c>
      <c r="C15" s="271">
        <f>B15/'أساس الأداء في الطور الإبتدائي'!D15</f>
        <v>0.31914893617021278</v>
      </c>
      <c r="D15" s="318">
        <v>1021570.334</v>
      </c>
      <c r="E15" s="323">
        <v>50</v>
      </c>
      <c r="F15" s="271">
        <f>E15/'أساس الأداء في الطور الإبتدائي'!J15</f>
        <v>0.35971223021582732</v>
      </c>
      <c r="G15" s="318">
        <v>6204398.8830000004</v>
      </c>
      <c r="H15" s="141"/>
    </row>
    <row r="16" spans="1:8" ht="15">
      <c r="A16" s="212" t="s">
        <v>71</v>
      </c>
      <c r="B16" s="317">
        <v>1</v>
      </c>
      <c r="C16" s="271">
        <f>B16/'أساس الأداء في الطور الإبتدائي'!D16</f>
        <v>0.33333333333333331</v>
      </c>
      <c r="D16" s="318">
        <v>831480</v>
      </c>
      <c r="E16" s="323">
        <v>10</v>
      </c>
      <c r="F16" s="271">
        <f>E16/'أساس الأداء في الطور الإبتدائي'!J16</f>
        <v>0.4</v>
      </c>
      <c r="G16" s="318">
        <v>519894</v>
      </c>
      <c r="H16" s="141"/>
    </row>
    <row r="17" spans="1:8" ht="15">
      <c r="A17" s="212" t="s">
        <v>72</v>
      </c>
      <c r="B17" s="317"/>
      <c r="C17" s="271"/>
      <c r="D17" s="318"/>
      <c r="E17" s="323">
        <v>0</v>
      </c>
      <c r="F17" s="271"/>
      <c r="G17" s="318">
        <v>0</v>
      </c>
      <c r="H17" s="141"/>
    </row>
    <row r="18" spans="1:8" ht="15">
      <c r="A18" s="212" t="s">
        <v>8</v>
      </c>
      <c r="B18" s="317">
        <v>13</v>
      </c>
      <c r="C18" s="271">
        <f>B18/'أساس الأداء في الطور الإبتدائي'!D18</f>
        <v>0.34210526315789475</v>
      </c>
      <c r="D18" s="318">
        <v>715000</v>
      </c>
      <c r="E18" s="323">
        <v>50</v>
      </c>
      <c r="F18" s="271">
        <f>E18/'أساس الأداء في الطور الإبتدائي'!J18</f>
        <v>0.55555555555555558</v>
      </c>
      <c r="G18" s="318">
        <v>3201458</v>
      </c>
      <c r="H18" s="141"/>
    </row>
    <row r="19" spans="1:8" ht="15">
      <c r="A19" s="212" t="s">
        <v>9</v>
      </c>
      <c r="B19" s="317">
        <v>9</v>
      </c>
      <c r="C19" s="271">
        <f>B19/'أساس الأداء في الطور الإبتدائي'!D19</f>
        <v>0.47368421052631576</v>
      </c>
      <c r="D19" s="318">
        <v>1244238</v>
      </c>
      <c r="E19" s="323">
        <v>22</v>
      </c>
      <c r="F19" s="271">
        <f>E19/'أساس الأداء في الطور الإبتدائي'!J19</f>
        <v>0.51162790697674421</v>
      </c>
      <c r="G19" s="318">
        <v>964020.48800000001</v>
      </c>
      <c r="H19" s="141"/>
    </row>
    <row r="20" spans="1:8" ht="15">
      <c r="A20" s="212" t="s">
        <v>10</v>
      </c>
      <c r="B20" s="317">
        <v>6</v>
      </c>
      <c r="C20" s="271">
        <f>B20/'أساس الأداء في الطور الإبتدائي'!D20</f>
        <v>0.33333333333333331</v>
      </c>
      <c r="D20" s="318">
        <v>2140086</v>
      </c>
      <c r="E20" s="323">
        <v>45</v>
      </c>
      <c r="F20" s="271">
        <f>E20/'أساس الأداء في الطور الإبتدائي'!J20</f>
        <v>0.60810810810810811</v>
      </c>
      <c r="G20" s="318">
        <v>62056117</v>
      </c>
      <c r="H20" s="141"/>
    </row>
    <row r="21" spans="1:8" ht="15">
      <c r="A21" s="212" t="s">
        <v>11</v>
      </c>
      <c r="B21" s="317">
        <v>11</v>
      </c>
      <c r="C21" s="271">
        <f>B21/'أساس الأداء في الطور الإبتدائي'!D21</f>
        <v>0.73333333333333328</v>
      </c>
      <c r="D21" s="318">
        <v>1007849</v>
      </c>
      <c r="E21" s="323">
        <v>11</v>
      </c>
      <c r="F21" s="271">
        <f>E21/'أساس الأداء في الطور الإبتدائي'!J21</f>
        <v>0.52380952380952384</v>
      </c>
      <c r="G21" s="318">
        <v>626326</v>
      </c>
      <c r="H21" s="141"/>
    </row>
    <row r="22" spans="1:8" ht="15">
      <c r="A22" s="212" t="s">
        <v>12</v>
      </c>
      <c r="B22" s="317">
        <v>10</v>
      </c>
      <c r="C22" s="271">
        <f>B22/'أساس الأداء في الطور الإبتدائي'!D22</f>
        <v>0.5</v>
      </c>
      <c r="D22" s="318">
        <v>350600</v>
      </c>
      <c r="E22" s="323">
        <v>14</v>
      </c>
      <c r="F22" s="271">
        <f>E22/'أساس الأداء في الطور الإبتدائي'!J22</f>
        <v>0.51851851851851849</v>
      </c>
      <c r="G22" s="318">
        <v>2350112</v>
      </c>
      <c r="H22" s="141"/>
    </row>
    <row r="23" spans="1:8" ht="15">
      <c r="A23" s="212" t="s">
        <v>13</v>
      </c>
      <c r="B23" s="317">
        <v>1</v>
      </c>
      <c r="C23" s="271">
        <f>B23/'أساس الأداء في الطور الإبتدائي'!D23</f>
        <v>0.25</v>
      </c>
      <c r="D23" s="318">
        <v>1344270</v>
      </c>
      <c r="E23" s="323">
        <v>2</v>
      </c>
      <c r="F23" s="271">
        <f>E23/'أساس الأداء في الطور الإبتدائي'!J23</f>
        <v>0.2</v>
      </c>
      <c r="G23" s="318">
        <v>64038</v>
      </c>
      <c r="H23" s="141"/>
    </row>
    <row r="24" spans="1:8" ht="15">
      <c r="A24" s="212" t="s">
        <v>14</v>
      </c>
      <c r="B24" s="317">
        <v>12</v>
      </c>
      <c r="C24" s="271">
        <f>B24/'أساس الأداء في الطور الإبتدائي'!D24</f>
        <v>0.8</v>
      </c>
      <c r="D24" s="318">
        <v>266455</v>
      </c>
      <c r="E24" s="323">
        <v>7</v>
      </c>
      <c r="F24" s="271">
        <f>E24/'أساس الأداء في الطور الإبتدائي'!J24</f>
        <v>0.7</v>
      </c>
      <c r="G24" s="318">
        <v>193365</v>
      </c>
      <c r="H24" s="141"/>
    </row>
    <row r="25" spans="1:8" ht="15">
      <c r="A25" s="212" t="s">
        <v>15</v>
      </c>
      <c r="B25" s="317">
        <v>11</v>
      </c>
      <c r="C25" s="271">
        <f>B25/'أساس الأداء في الطور الإبتدائي'!D25</f>
        <v>0.91666666666666663</v>
      </c>
      <c r="D25" s="318">
        <v>289469</v>
      </c>
      <c r="E25" s="323">
        <v>30</v>
      </c>
      <c r="F25" s="271">
        <f>E25/'أساس الأداء في الطور الإبتدائي'!J25</f>
        <v>0.5</v>
      </c>
      <c r="G25" s="318">
        <v>1860135</v>
      </c>
      <c r="H25" s="141"/>
    </row>
    <row r="26" spans="1:8" ht="15">
      <c r="A26" s="212" t="s">
        <v>16</v>
      </c>
      <c r="B26" s="317">
        <v>1</v>
      </c>
      <c r="C26" s="271">
        <f>B26/'أساس الأداء في الطور الإبتدائي'!D26</f>
        <v>0.33333333333333331</v>
      </c>
      <c r="D26" s="318">
        <v>41921</v>
      </c>
      <c r="E26" s="323">
        <v>7</v>
      </c>
      <c r="F26" s="271">
        <f>E26/'أساس الأداء في الطور الإبتدائي'!J26</f>
        <v>0.53846153846153844</v>
      </c>
      <c r="G26" s="318">
        <v>639110</v>
      </c>
      <c r="H26" s="141"/>
    </row>
    <row r="27" spans="1:8" ht="15">
      <c r="A27" s="212" t="s">
        <v>17</v>
      </c>
      <c r="B27" s="317">
        <v>9</v>
      </c>
      <c r="C27" s="271">
        <f>B27/'أساس الأداء في الطور الإبتدائي'!D27</f>
        <v>0.6</v>
      </c>
      <c r="D27" s="318">
        <v>501524</v>
      </c>
      <c r="E27" s="323">
        <v>34</v>
      </c>
      <c r="F27" s="271">
        <f>E27/'أساس الأداء في الطور الإبتدائي'!J27</f>
        <v>0.72340425531914898</v>
      </c>
      <c r="G27" s="318">
        <v>782235.27500000002</v>
      </c>
      <c r="H27" s="141"/>
    </row>
    <row r="28" spans="1:8" ht="15">
      <c r="A28" s="212" t="s">
        <v>18</v>
      </c>
      <c r="B28" s="317">
        <v>3</v>
      </c>
      <c r="C28" s="271">
        <f>B28/'أساس الأداء في الطور الإبتدائي'!D28</f>
        <v>0.75</v>
      </c>
      <c r="D28" s="318">
        <v>100182</v>
      </c>
      <c r="E28" s="323">
        <v>10</v>
      </c>
      <c r="F28" s="271">
        <f>E28/'أساس الأداء في الطور الإبتدائي'!J28</f>
        <v>0.76923076923076927</v>
      </c>
      <c r="G28" s="318">
        <v>1288933</v>
      </c>
      <c r="H28" s="141"/>
    </row>
    <row r="29" spans="1:8" ht="15">
      <c r="A29" s="212" t="s">
        <v>19</v>
      </c>
      <c r="B29" s="317">
        <v>2</v>
      </c>
      <c r="C29" s="271">
        <f>B29/'أساس الأداء في الطور الإبتدائي'!D29</f>
        <v>1</v>
      </c>
      <c r="D29" s="318">
        <v>7000</v>
      </c>
      <c r="E29" s="323">
        <v>1</v>
      </c>
      <c r="F29" s="271">
        <f>E29/'أساس الأداء في الطور الإبتدائي'!J29</f>
        <v>1</v>
      </c>
      <c r="G29" s="318">
        <v>3464</v>
      </c>
      <c r="H29" s="141"/>
    </row>
    <row r="30" spans="1:8" ht="15">
      <c r="A30" s="212" t="s">
        <v>20</v>
      </c>
      <c r="B30" s="317">
        <v>1</v>
      </c>
      <c r="C30" s="271">
        <f>B30/'أساس الأداء في الطور الإبتدائي'!D30</f>
        <v>0.25</v>
      </c>
      <c r="D30" s="318">
        <v>5715</v>
      </c>
      <c r="E30" s="323">
        <v>0</v>
      </c>
      <c r="F30" s="271"/>
      <c r="G30" s="318">
        <v>0</v>
      </c>
      <c r="H30" s="141"/>
    </row>
    <row r="31" spans="1:8" ht="15">
      <c r="A31" s="212" t="s">
        <v>21</v>
      </c>
      <c r="B31" s="317"/>
      <c r="C31" s="271"/>
      <c r="D31" s="318"/>
      <c r="E31" s="323">
        <v>6</v>
      </c>
      <c r="F31" s="271">
        <f>E31/'أساس الأداء في الطور الإبتدائي'!J31</f>
        <v>0.5</v>
      </c>
      <c r="G31" s="318">
        <v>147563.05300000001</v>
      </c>
      <c r="H31" s="141"/>
    </row>
    <row r="32" spans="1:8" ht="15">
      <c r="A32" s="212" t="s">
        <v>22</v>
      </c>
      <c r="B32" s="317"/>
      <c r="C32" s="271"/>
      <c r="D32" s="318"/>
      <c r="E32" s="323">
        <v>8</v>
      </c>
      <c r="F32" s="271">
        <f>E32/'أساس الأداء في الطور الإبتدائي'!J32</f>
        <v>0.44444444444444442</v>
      </c>
      <c r="G32" s="318">
        <v>276238</v>
      </c>
      <c r="H32" s="141"/>
    </row>
    <row r="33" spans="1:12" ht="15">
      <c r="A33" s="212" t="s">
        <v>23</v>
      </c>
      <c r="B33" s="317"/>
      <c r="C33" s="271"/>
      <c r="D33" s="318"/>
      <c r="E33" s="323">
        <v>0</v>
      </c>
      <c r="F33" s="271"/>
      <c r="G33" s="318">
        <v>0</v>
      </c>
      <c r="H33" s="141"/>
    </row>
    <row r="34" spans="1:12" ht="15">
      <c r="A34" s="212" t="s">
        <v>24</v>
      </c>
      <c r="B34" s="317">
        <v>2</v>
      </c>
      <c r="C34" s="271">
        <f>B34/'أساس الأداء في الطور الإبتدائي'!D34</f>
        <v>1</v>
      </c>
      <c r="D34" s="318">
        <v>128829</v>
      </c>
      <c r="E34" s="323">
        <v>5</v>
      </c>
      <c r="F34" s="271">
        <f>E34/'أساس الأداء في الطور الإبتدائي'!J34</f>
        <v>1</v>
      </c>
      <c r="G34" s="318">
        <v>134840</v>
      </c>
      <c r="H34" s="141"/>
    </row>
    <row r="35" spans="1:12" ht="15.75" thickBot="1">
      <c r="A35" s="233" t="s">
        <v>25</v>
      </c>
      <c r="B35" s="319"/>
      <c r="C35" s="320"/>
      <c r="D35" s="321"/>
      <c r="E35" s="324">
        <v>1</v>
      </c>
      <c r="F35" s="320">
        <f>E35/'أساس الأداء في الطور الإبتدائي'!J35</f>
        <v>0.25</v>
      </c>
      <c r="G35" s="321">
        <v>2341.1959999999999</v>
      </c>
      <c r="H35" s="141"/>
    </row>
    <row r="36" spans="1:12" ht="16.5" thickBot="1">
      <c r="A36" s="227" t="s">
        <v>34</v>
      </c>
      <c r="B36" s="230">
        <f>SUM(B7:B35)</f>
        <v>203</v>
      </c>
      <c r="C36" s="313">
        <f>B36/'أساس الأداء في الطور الإبتدائي'!D36</f>
        <v>0.44615384615384618</v>
      </c>
      <c r="D36" s="230">
        <f>SUM(D7:D35)</f>
        <v>155109921.33399999</v>
      </c>
      <c r="E36" s="230">
        <f>SUM(E7:E35)</f>
        <v>488</v>
      </c>
      <c r="F36" s="313">
        <f>E36/'أساس الأداء في الطور الإبتدائي'!J36</f>
        <v>0.45864661654135336</v>
      </c>
      <c r="G36" s="231">
        <f>SUM(G7:G35)</f>
        <v>174855487.79800001</v>
      </c>
      <c r="H36" s="141"/>
    </row>
    <row r="37" spans="1:12" ht="24" customHeight="1">
      <c r="A37" s="326" t="s">
        <v>36</v>
      </c>
      <c r="B37" s="430" t="s">
        <v>116</v>
      </c>
      <c r="C37" s="430"/>
      <c r="D37" s="430"/>
      <c r="E37" s="430"/>
      <c r="F37" s="430"/>
      <c r="G37" s="430"/>
      <c r="H37" s="154"/>
    </row>
    <row r="38" spans="1:12" ht="9" customHeight="1">
      <c r="A38" s="326"/>
      <c r="B38" s="430"/>
      <c r="C38" s="430"/>
      <c r="D38" s="430"/>
      <c r="E38" s="430"/>
      <c r="F38" s="430"/>
      <c r="G38" s="430"/>
      <c r="H38" s="325"/>
      <c r="I38" s="325"/>
      <c r="J38" s="325"/>
      <c r="K38" s="325"/>
      <c r="L38" s="325"/>
    </row>
  </sheetData>
  <mergeCells count="7">
    <mergeCell ref="B38:G38"/>
    <mergeCell ref="G1:H1"/>
    <mergeCell ref="A2:H2"/>
    <mergeCell ref="E5:G5"/>
    <mergeCell ref="B5:D5"/>
    <mergeCell ref="A3:H3"/>
    <mergeCell ref="B37:G37"/>
  </mergeCells>
  <pageMargins left="0.19685039370078741" right="0.19685039370078741" top="0.74803149606299213" bottom="0.43307086614173229" header="0.31496062992125984" footer="0.31496062992125984"/>
  <pageSetup paperSize="9" orientation="portrait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7"/>
  <sheetViews>
    <sheetView rightToLeft="1" view="pageBreakPreview" zoomScale="60" workbookViewId="0">
      <selection activeCell="D2" sqref="D2:H2"/>
    </sheetView>
  </sheetViews>
  <sheetFormatPr baseColWidth="10" defaultRowHeight="12.75"/>
  <cols>
    <col min="1" max="1" width="20" customWidth="1"/>
    <col min="2" max="2" width="14" customWidth="1"/>
    <col min="3" max="3" width="13.7109375" customWidth="1"/>
    <col min="4" max="4" width="21.28515625" customWidth="1"/>
    <col min="5" max="5" width="21" customWidth="1"/>
    <col min="6" max="6" width="9.7109375" customWidth="1"/>
    <col min="7" max="7" width="13" customWidth="1"/>
    <col min="8" max="8" width="13.7109375" customWidth="1"/>
    <col min="9" max="9" width="23.5703125" customWidth="1"/>
    <col min="10" max="10" width="20.5703125" customWidth="1"/>
    <col min="11" max="11" width="10.85546875" customWidth="1"/>
  </cols>
  <sheetData>
    <row r="1" spans="1:11" ht="32.25" customHeight="1">
      <c r="A1" s="429"/>
      <c r="B1" s="429"/>
      <c r="C1" s="429"/>
      <c r="D1" s="429"/>
      <c r="E1" s="429"/>
      <c r="F1" s="429"/>
      <c r="G1" s="429"/>
      <c r="H1" s="429"/>
      <c r="I1" s="434" t="s">
        <v>123</v>
      </c>
      <c r="J1" s="434"/>
      <c r="K1" s="434"/>
    </row>
    <row r="2" spans="1:11" ht="39.75" customHeight="1">
      <c r="A2" s="144"/>
      <c r="B2" s="156"/>
      <c r="C2" s="156"/>
      <c r="D2" s="435" t="s">
        <v>86</v>
      </c>
      <c r="E2" s="435"/>
      <c r="F2" s="435"/>
      <c r="G2" s="435"/>
      <c r="H2" s="435"/>
      <c r="I2" s="156"/>
      <c r="J2" s="157"/>
      <c r="K2" s="157"/>
    </row>
    <row r="3" spans="1:11" ht="18.75" thickBot="1">
      <c r="A3" s="144"/>
      <c r="B3" s="156"/>
      <c r="C3" s="156"/>
      <c r="D3" s="156"/>
      <c r="E3" s="157"/>
      <c r="F3" s="157"/>
      <c r="G3" s="147"/>
      <c r="H3" s="156"/>
      <c r="I3" s="157"/>
      <c r="J3" s="417" t="s">
        <v>77</v>
      </c>
      <c r="K3" s="417"/>
    </row>
    <row r="4" spans="1:11" ht="18.75" thickBot="1">
      <c r="A4" s="216" t="s">
        <v>59</v>
      </c>
      <c r="B4" s="418" t="s">
        <v>74</v>
      </c>
      <c r="C4" s="418"/>
      <c r="D4" s="418"/>
      <c r="E4" s="418"/>
      <c r="F4" s="418"/>
      <c r="G4" s="418" t="s">
        <v>113</v>
      </c>
      <c r="H4" s="418"/>
      <c r="I4" s="418"/>
      <c r="J4" s="418"/>
      <c r="K4" s="418"/>
    </row>
    <row r="5" spans="1:11" ht="36.75" thickBot="1">
      <c r="A5" s="217" t="s">
        <v>83</v>
      </c>
      <c r="B5" s="219" t="s">
        <v>0</v>
      </c>
      <c r="C5" s="219" t="s">
        <v>80</v>
      </c>
      <c r="D5" s="220" t="s">
        <v>26</v>
      </c>
      <c r="E5" s="219" t="s">
        <v>33</v>
      </c>
      <c r="F5" s="218" t="s">
        <v>32</v>
      </c>
      <c r="G5" s="219" t="s">
        <v>0</v>
      </c>
      <c r="H5" s="219" t="s">
        <v>80</v>
      </c>
      <c r="I5" s="220" t="s">
        <v>26</v>
      </c>
      <c r="J5" s="219" t="s">
        <v>33</v>
      </c>
      <c r="K5" s="218" t="s">
        <v>32</v>
      </c>
    </row>
    <row r="6" spans="1:11" ht="18">
      <c r="A6" s="234" t="s">
        <v>66</v>
      </c>
      <c r="B6" s="274">
        <v>5</v>
      </c>
      <c r="C6" s="275">
        <f>B6/'[1]ملحق 7'!C36</f>
        <v>5.8072009291521487E-3</v>
      </c>
      <c r="D6" s="276">
        <v>7223277</v>
      </c>
      <c r="E6" s="276">
        <v>6809973</v>
      </c>
      <c r="F6" s="273">
        <f>E6/D6</f>
        <v>0.94278164882781046</v>
      </c>
      <c r="G6" s="274">
        <v>20</v>
      </c>
      <c r="H6" s="275">
        <f>G6/'أساس الأداء في الطور الإبتدائي'!J7</f>
        <v>0.32786885245901637</v>
      </c>
      <c r="I6" s="276">
        <v>22988994</v>
      </c>
      <c r="J6" s="276">
        <v>15169254</v>
      </c>
      <c r="K6" s="277">
        <f>J6/I6</f>
        <v>0.65984853447697622</v>
      </c>
    </row>
    <row r="7" spans="1:11" ht="39" customHeight="1">
      <c r="A7" s="235" t="s">
        <v>65</v>
      </c>
      <c r="B7" s="274">
        <v>0</v>
      </c>
      <c r="C7" s="275"/>
      <c r="D7" s="276">
        <v>0</v>
      </c>
      <c r="E7" s="276">
        <v>0</v>
      </c>
      <c r="F7" s="273"/>
      <c r="G7" s="274">
        <v>1</v>
      </c>
      <c r="H7" s="275">
        <f>G7/'أساس الأداء في الطور الإبتدائي'!J8</f>
        <v>0.5</v>
      </c>
      <c r="I7" s="276">
        <v>498423</v>
      </c>
      <c r="J7" s="276">
        <v>226241</v>
      </c>
      <c r="K7" s="277">
        <f>J7/I7</f>
        <v>0.45391364363201536</v>
      </c>
    </row>
    <row r="8" spans="1:11" ht="18">
      <c r="A8" s="224" t="s">
        <v>2</v>
      </c>
      <c r="B8" s="274">
        <v>17</v>
      </c>
      <c r="C8" s="275">
        <f>B8/'[1]ملحق 7'!C36</f>
        <v>1.9744483159117306E-2</v>
      </c>
      <c r="D8" s="276">
        <v>3354000</v>
      </c>
      <c r="E8" s="276">
        <v>1280000</v>
      </c>
      <c r="F8" s="277">
        <f t="shared" ref="F8:F14" si="0">E8/D8</f>
        <v>0.38163387000596305</v>
      </c>
      <c r="G8" s="274">
        <v>22</v>
      </c>
      <c r="H8" s="275">
        <f>G8/'أساس الأداء في الطور الإبتدائي'!J9</f>
        <v>0.19469026548672566</v>
      </c>
      <c r="I8" s="276">
        <v>1043363</v>
      </c>
      <c r="J8" s="276">
        <v>386419</v>
      </c>
      <c r="K8" s="277">
        <f t="shared" ref="K8:K10" si="1">J8/I8</f>
        <v>0.37035911758419648</v>
      </c>
    </row>
    <row r="9" spans="1:11" ht="18">
      <c r="A9" s="224" t="s">
        <v>3</v>
      </c>
      <c r="B9" s="274">
        <v>7</v>
      </c>
      <c r="C9" s="275">
        <f>B9/'[1]ملحق 7'!C36</f>
        <v>8.130081300813009E-3</v>
      </c>
      <c r="D9" s="276">
        <v>1006000</v>
      </c>
      <c r="E9" s="276">
        <v>338000</v>
      </c>
      <c r="F9" s="273">
        <f t="shared" si="0"/>
        <v>0.3359840954274354</v>
      </c>
      <c r="G9" s="274">
        <v>7</v>
      </c>
      <c r="H9" s="275">
        <f>G9/'أساس الأداء في الطور الإبتدائي'!J10</f>
        <v>0.13461538461538461</v>
      </c>
      <c r="I9" s="276">
        <v>450614</v>
      </c>
      <c r="J9" s="276">
        <v>272096</v>
      </c>
      <c r="K9" s="277">
        <f t="shared" si="1"/>
        <v>0.6038338799948515</v>
      </c>
    </row>
    <row r="10" spans="1:11" ht="18">
      <c r="A10" s="224" t="s">
        <v>68</v>
      </c>
      <c r="B10" s="274">
        <v>6</v>
      </c>
      <c r="C10" s="275">
        <f>B10/'[1]ملحق 7'!C36</f>
        <v>6.9686411149825784E-3</v>
      </c>
      <c r="D10" s="276">
        <v>318749</v>
      </c>
      <c r="E10" s="276">
        <v>109116</v>
      </c>
      <c r="F10" s="273">
        <f t="shared" si="0"/>
        <v>0.34232577984558382</v>
      </c>
      <c r="G10" s="274">
        <v>3</v>
      </c>
      <c r="H10" s="275">
        <f>G10/'أساس الأداء في الطور الإبتدائي'!J11</f>
        <v>8.8235294117647065E-2</v>
      </c>
      <c r="I10" s="276">
        <v>111330</v>
      </c>
      <c r="J10" s="276">
        <v>71831</v>
      </c>
      <c r="K10" s="277">
        <f t="shared" si="1"/>
        <v>0.64520794035749574</v>
      </c>
    </row>
    <row r="11" spans="1:11" ht="18">
      <c r="A11" s="224" t="s">
        <v>4</v>
      </c>
      <c r="B11" s="274">
        <v>9</v>
      </c>
      <c r="C11" s="275">
        <f>B11/'[1]ملحق 7'!C36</f>
        <v>1.0452961672473868E-2</v>
      </c>
      <c r="D11" s="276">
        <v>1190365</v>
      </c>
      <c r="E11" s="276">
        <v>274150</v>
      </c>
      <c r="F11" s="273">
        <f t="shared" si="0"/>
        <v>0.23030751072150138</v>
      </c>
      <c r="G11" s="274">
        <v>10</v>
      </c>
      <c r="H11" s="275">
        <f>G11/'أساس الأداء في الطور الإبتدائي'!J12</f>
        <v>0.27027027027027029</v>
      </c>
      <c r="I11" s="276">
        <v>1646545</v>
      </c>
      <c r="J11" s="276">
        <v>1006188</v>
      </c>
      <c r="K11" s="277">
        <f t="shared" ref="K11:K15" si="2">J11/I11</f>
        <v>0.61109049555280903</v>
      </c>
    </row>
    <row r="12" spans="1:11" ht="18">
      <c r="A12" s="224" t="s">
        <v>5</v>
      </c>
      <c r="B12" s="274">
        <v>22</v>
      </c>
      <c r="C12" s="275">
        <f>B12/'[1]ملحق 7'!C36</f>
        <v>2.5551684088269456E-2</v>
      </c>
      <c r="D12" s="276">
        <v>1569000</v>
      </c>
      <c r="E12" s="276">
        <v>518000</v>
      </c>
      <c r="F12" s="273">
        <f t="shared" si="0"/>
        <v>0.33014659018483111</v>
      </c>
      <c r="G12" s="274">
        <v>33</v>
      </c>
      <c r="H12" s="275">
        <f>G12/'أساس الأداء في الطور الإبتدائي'!J13</f>
        <v>0.27500000000000002</v>
      </c>
      <c r="I12" s="276">
        <v>1863460</v>
      </c>
      <c r="J12" s="276">
        <v>628319</v>
      </c>
      <c r="K12" s="277">
        <f t="shared" si="2"/>
        <v>0.33717868910521287</v>
      </c>
    </row>
    <row r="13" spans="1:11" ht="18">
      <c r="A13" s="224" t="s">
        <v>6</v>
      </c>
      <c r="B13" s="274">
        <v>2</v>
      </c>
      <c r="C13" s="275">
        <f>B13/'[1]ملحق 7'!C36</f>
        <v>2.3228803716608595E-3</v>
      </c>
      <c r="D13" s="276">
        <v>17000</v>
      </c>
      <c r="E13" s="276">
        <v>3500</v>
      </c>
      <c r="F13" s="273">
        <f t="shared" si="0"/>
        <v>0.20588235294117646</v>
      </c>
      <c r="G13" s="274">
        <v>6</v>
      </c>
      <c r="H13" s="275">
        <f>G13/'أساس الأداء في الطور الإبتدائي'!J14</f>
        <v>0.18181818181818182</v>
      </c>
      <c r="I13" s="276">
        <v>1011573.058</v>
      </c>
      <c r="J13" s="276">
        <v>332522.22200000001</v>
      </c>
      <c r="K13" s="277">
        <f t="shared" si="2"/>
        <v>0.32871795009787619</v>
      </c>
    </row>
    <row r="14" spans="1:11" ht="18">
      <c r="A14" s="224" t="s">
        <v>7</v>
      </c>
      <c r="B14" s="274">
        <v>30</v>
      </c>
      <c r="C14" s="275">
        <f>B14/'[1]ملحق 7'!C36</f>
        <v>3.484320557491289E-2</v>
      </c>
      <c r="D14" s="276">
        <v>12449268.867000001</v>
      </c>
      <c r="E14" s="276">
        <v>4582992.9349999996</v>
      </c>
      <c r="F14" s="273">
        <f t="shared" si="0"/>
        <v>0.36813350116876381</v>
      </c>
      <c r="G14" s="274">
        <v>21</v>
      </c>
      <c r="H14" s="275">
        <f>G14/'أساس الأداء في الطور الإبتدائي'!J15</f>
        <v>0.15107913669064749</v>
      </c>
      <c r="I14" s="276">
        <v>38496822.744999997</v>
      </c>
      <c r="J14" s="276">
        <v>911490.85800000001</v>
      </c>
      <c r="K14" s="277">
        <f t="shared" si="2"/>
        <v>2.3677041194740813E-2</v>
      </c>
    </row>
    <row r="15" spans="1:11" ht="18">
      <c r="A15" s="224" t="s">
        <v>71</v>
      </c>
      <c r="B15" s="274"/>
      <c r="C15" s="275"/>
      <c r="D15" s="276">
        <v>0</v>
      </c>
      <c r="E15" s="276">
        <v>0</v>
      </c>
      <c r="F15" s="273"/>
      <c r="G15" s="274">
        <v>4</v>
      </c>
      <c r="H15" s="275">
        <f>G15/'أساس الأداء في الطور الإبتدائي'!J16</f>
        <v>0.16</v>
      </c>
      <c r="I15" s="276">
        <v>369344</v>
      </c>
      <c r="J15" s="276">
        <v>259386</v>
      </c>
      <c r="K15" s="277">
        <f t="shared" si="2"/>
        <v>0.70228838156298734</v>
      </c>
    </row>
    <row r="16" spans="1:11" ht="18">
      <c r="A16" s="224" t="s">
        <v>72</v>
      </c>
      <c r="B16" s="274"/>
      <c r="C16" s="275"/>
      <c r="D16" s="276">
        <v>0</v>
      </c>
      <c r="E16" s="276">
        <v>0</v>
      </c>
      <c r="F16" s="273"/>
      <c r="G16" s="274">
        <v>0</v>
      </c>
      <c r="H16" s="275"/>
      <c r="I16" s="276">
        <v>0</v>
      </c>
      <c r="J16" s="276">
        <v>0</v>
      </c>
      <c r="K16" s="277"/>
    </row>
    <row r="17" spans="1:11" ht="18">
      <c r="A17" s="224" t="s">
        <v>8</v>
      </c>
      <c r="B17" s="274">
        <v>18</v>
      </c>
      <c r="C17" s="275">
        <f>B17/'[1]ملحق 7'!C36</f>
        <v>2.0905923344947737E-2</v>
      </c>
      <c r="D17" s="276">
        <v>1509000</v>
      </c>
      <c r="E17" s="276">
        <v>1000000</v>
      </c>
      <c r="F17" s="273">
        <f t="shared" ref="F17:F23" si="3">E17/D17</f>
        <v>0.66269052352551361</v>
      </c>
      <c r="G17" s="274">
        <v>8</v>
      </c>
      <c r="H17" s="275">
        <f>G17/'أساس الأداء في الطور الإبتدائي'!J18</f>
        <v>8.8888888888888892E-2</v>
      </c>
      <c r="I17" s="276">
        <v>231161</v>
      </c>
      <c r="J17" s="276">
        <v>104054</v>
      </c>
      <c r="K17" s="277">
        <f t="shared" ref="K17:K26" si="4">J17/I17</f>
        <v>0.45013648496069841</v>
      </c>
    </row>
    <row r="18" spans="1:11" ht="18">
      <c r="A18" s="224" t="s">
        <v>9</v>
      </c>
      <c r="B18" s="274">
        <v>4</v>
      </c>
      <c r="C18" s="275">
        <f>B18/'[1]ملحق 7'!C36</f>
        <v>4.6457607433217189E-3</v>
      </c>
      <c r="D18" s="276">
        <v>42635</v>
      </c>
      <c r="E18" s="276">
        <v>10122</v>
      </c>
      <c r="F18" s="273">
        <f t="shared" si="3"/>
        <v>0.23741057816348071</v>
      </c>
      <c r="G18" s="274">
        <v>2</v>
      </c>
      <c r="H18" s="275">
        <f>G18/'أساس الأداء في الطور الإبتدائي'!J19</f>
        <v>4.6511627906976744E-2</v>
      </c>
      <c r="I18" s="276">
        <v>168442.652</v>
      </c>
      <c r="J18" s="276">
        <v>151973.08900000001</v>
      </c>
      <c r="K18" s="277">
        <f t="shared" si="4"/>
        <v>0.90222450902755913</v>
      </c>
    </row>
    <row r="19" spans="1:11" ht="18">
      <c r="A19" s="224" t="s">
        <v>10</v>
      </c>
      <c r="B19" s="274">
        <v>8</v>
      </c>
      <c r="C19" s="275">
        <f>B19/'[1]ملحق 7'!C36</f>
        <v>9.2915214866434379E-3</v>
      </c>
      <c r="D19" s="276">
        <v>1257223</v>
      </c>
      <c r="E19" s="276">
        <v>633132</v>
      </c>
      <c r="F19" s="273">
        <f t="shared" si="3"/>
        <v>0.50359562305175776</v>
      </c>
      <c r="G19" s="274">
        <v>7</v>
      </c>
      <c r="H19" s="275">
        <f>G19/'أساس الأداء في الطور الإبتدائي'!J20</f>
        <v>9.45945945945946E-2</v>
      </c>
      <c r="I19" s="276">
        <v>662909</v>
      </c>
      <c r="J19" s="276">
        <v>198255</v>
      </c>
      <c r="K19" s="277">
        <f t="shared" si="4"/>
        <v>0.29906819789744898</v>
      </c>
    </row>
    <row r="20" spans="1:11" s="180" customFormat="1" ht="18">
      <c r="A20" s="224" t="s">
        <v>11</v>
      </c>
      <c r="B20" s="274">
        <v>1</v>
      </c>
      <c r="C20" s="275">
        <f>B20/'[1]ملحق 7'!C36</f>
        <v>1.1614401858304297E-3</v>
      </c>
      <c r="D20" s="276">
        <v>732000</v>
      </c>
      <c r="E20" s="276">
        <v>290000</v>
      </c>
      <c r="F20" s="273">
        <f t="shared" si="3"/>
        <v>0.39617486338797814</v>
      </c>
      <c r="G20" s="274">
        <v>1</v>
      </c>
      <c r="H20" s="275">
        <f>G20/'أساس الأداء في الطور الإبتدائي'!J21</f>
        <v>4.7619047619047616E-2</v>
      </c>
      <c r="I20" s="276">
        <v>1407</v>
      </c>
      <c r="J20" s="276">
        <v>171</v>
      </c>
      <c r="K20" s="277">
        <f t="shared" si="4"/>
        <v>0.12153518123667377</v>
      </c>
    </row>
    <row r="21" spans="1:11" ht="18">
      <c r="A21" s="224" t="s">
        <v>12</v>
      </c>
      <c r="B21" s="274">
        <v>8</v>
      </c>
      <c r="C21" s="275">
        <f>B21/'[1]ملحق 7'!C36</f>
        <v>9.2915214866434379E-3</v>
      </c>
      <c r="D21" s="276">
        <v>413170</v>
      </c>
      <c r="E21" s="276">
        <v>302311</v>
      </c>
      <c r="F21" s="273">
        <f t="shared" si="3"/>
        <v>0.73168671491153758</v>
      </c>
      <c r="G21" s="274">
        <v>5</v>
      </c>
      <c r="H21" s="275">
        <f>G21/'أساس الأداء في الطور الإبتدائي'!J22</f>
        <v>0.18518518518518517</v>
      </c>
      <c r="I21" s="276">
        <v>361646</v>
      </c>
      <c r="J21" s="276">
        <v>125776</v>
      </c>
      <c r="K21" s="277">
        <f t="shared" si="4"/>
        <v>0.34778761551351323</v>
      </c>
    </row>
    <row r="22" spans="1:11" ht="18">
      <c r="A22" s="224" t="s">
        <v>13</v>
      </c>
      <c r="B22" s="274">
        <v>2</v>
      </c>
      <c r="C22" s="275">
        <f>B22/'[1]ملحق 7'!C36</f>
        <v>2.3228803716608595E-3</v>
      </c>
      <c r="D22" s="276">
        <v>117193</v>
      </c>
      <c r="E22" s="276">
        <v>112415</v>
      </c>
      <c r="F22" s="273">
        <f t="shared" si="3"/>
        <v>0.95922964682190914</v>
      </c>
      <c r="G22" s="274">
        <v>0</v>
      </c>
      <c r="H22" s="275">
        <f>G22/'أساس الأداء في الطور الإبتدائي'!J23</f>
        <v>0</v>
      </c>
      <c r="I22" s="276">
        <v>0</v>
      </c>
      <c r="J22" s="276">
        <v>0</v>
      </c>
      <c r="K22" s="277"/>
    </row>
    <row r="23" spans="1:11" ht="18">
      <c r="A23" s="224" t="s">
        <v>14</v>
      </c>
      <c r="B23" s="274">
        <v>1</v>
      </c>
      <c r="C23" s="275">
        <f>B23/'[1]ملحق 7'!C36</f>
        <v>1.1614401858304297E-3</v>
      </c>
      <c r="D23" s="276">
        <v>16452</v>
      </c>
      <c r="E23" s="276">
        <v>11392</v>
      </c>
      <c r="F23" s="273">
        <f t="shared" si="3"/>
        <v>0.69243860928762457</v>
      </c>
      <c r="G23" s="274">
        <v>2</v>
      </c>
      <c r="H23" s="275">
        <f>G23/'أساس الأداء في الطور الإبتدائي'!J24</f>
        <v>0.2</v>
      </c>
      <c r="I23" s="276">
        <v>56498</v>
      </c>
      <c r="J23" s="276">
        <v>27574</v>
      </c>
      <c r="K23" s="277">
        <f t="shared" si="4"/>
        <v>0.48805267443095329</v>
      </c>
    </row>
    <row r="24" spans="1:11" ht="18">
      <c r="A24" s="224" t="s">
        <v>15</v>
      </c>
      <c r="B24" s="274">
        <v>0</v>
      </c>
      <c r="C24" s="275"/>
      <c r="D24" s="276">
        <v>0</v>
      </c>
      <c r="E24" s="276">
        <v>0</v>
      </c>
      <c r="F24" s="273"/>
      <c r="G24" s="274">
        <v>3</v>
      </c>
      <c r="H24" s="275">
        <f>G24/'أساس الأداء في الطور الإبتدائي'!J25</f>
        <v>0.05</v>
      </c>
      <c r="I24" s="276">
        <v>112174</v>
      </c>
      <c r="J24" s="276">
        <v>79794</v>
      </c>
      <c r="K24" s="277">
        <f t="shared" si="4"/>
        <v>0.71134130903774495</v>
      </c>
    </row>
    <row r="25" spans="1:11" ht="18">
      <c r="A25" s="224" t="s">
        <v>16</v>
      </c>
      <c r="B25" s="274">
        <v>0</v>
      </c>
      <c r="C25" s="275"/>
      <c r="D25" s="276">
        <v>0</v>
      </c>
      <c r="E25" s="276">
        <v>0</v>
      </c>
      <c r="F25" s="273"/>
      <c r="G25" s="274">
        <v>1</v>
      </c>
      <c r="H25" s="275">
        <f>G25/'أساس الأداء في الطور الإبتدائي'!J26</f>
        <v>7.6923076923076927E-2</v>
      </c>
      <c r="I25" s="276">
        <v>26823</v>
      </c>
      <c r="J25" s="276">
        <v>25437</v>
      </c>
      <c r="K25" s="277">
        <f t="shared" si="4"/>
        <v>0.94832792752488537</v>
      </c>
    </row>
    <row r="26" spans="1:11" ht="18">
      <c r="A26" s="224" t="s">
        <v>17</v>
      </c>
      <c r="B26" s="274">
        <v>3</v>
      </c>
      <c r="C26" s="275">
        <f>B26/'[1]ملحق 7'!C36</f>
        <v>3.4843205574912892E-3</v>
      </c>
      <c r="D26" s="276">
        <v>342975</v>
      </c>
      <c r="E26" s="276">
        <v>164166</v>
      </c>
      <c r="F26" s="273">
        <f>E26/D26</f>
        <v>0.47865296304395366</v>
      </c>
      <c r="G26" s="274">
        <v>5</v>
      </c>
      <c r="H26" s="275">
        <f>G26/'أساس الأداء في الطور الإبتدائي'!J27</f>
        <v>0.10638297872340426</v>
      </c>
      <c r="I26" s="276">
        <v>457305.83399999997</v>
      </c>
      <c r="J26" s="276">
        <v>168643.772</v>
      </c>
      <c r="K26" s="277">
        <f t="shared" si="4"/>
        <v>0.36877677794943681</v>
      </c>
    </row>
    <row r="27" spans="1:11" ht="18">
      <c r="A27" s="224" t="s">
        <v>18</v>
      </c>
      <c r="B27" s="274">
        <v>0</v>
      </c>
      <c r="C27" s="275"/>
      <c r="D27" s="276">
        <v>0</v>
      </c>
      <c r="E27" s="276">
        <v>0</v>
      </c>
      <c r="F27" s="273"/>
      <c r="G27" s="274">
        <v>3</v>
      </c>
      <c r="H27" s="275">
        <f>G27/'أساس الأداء في الطور الإبتدائي'!J28</f>
        <v>0.23076923076923078</v>
      </c>
      <c r="I27" s="276">
        <v>69567</v>
      </c>
      <c r="J27" s="276">
        <v>36473</v>
      </c>
      <c r="K27" s="277">
        <f t="shared" ref="K27:K34" si="5">J27/I27</f>
        <v>0.52428594017278307</v>
      </c>
    </row>
    <row r="28" spans="1:11" ht="18">
      <c r="A28" s="224" t="s">
        <v>19</v>
      </c>
      <c r="B28" s="274">
        <v>0</v>
      </c>
      <c r="C28" s="275"/>
      <c r="D28" s="276">
        <v>0</v>
      </c>
      <c r="E28" s="276">
        <v>0</v>
      </c>
      <c r="F28" s="273"/>
      <c r="G28" s="274">
        <v>0</v>
      </c>
      <c r="H28" s="275">
        <f>G28/'أساس الأداء في الطور الإبتدائي'!J29</f>
        <v>0</v>
      </c>
      <c r="I28" s="276">
        <v>0</v>
      </c>
      <c r="J28" s="276">
        <v>0</v>
      </c>
      <c r="K28" s="277"/>
    </row>
    <row r="29" spans="1:11" ht="18">
      <c r="A29" s="224" t="s">
        <v>20</v>
      </c>
      <c r="B29" s="274">
        <v>3</v>
      </c>
      <c r="C29" s="275">
        <f>B29/'[1]ملحق 7'!C36</f>
        <v>3.4843205574912892E-3</v>
      </c>
      <c r="D29" s="276">
        <v>106954.158</v>
      </c>
      <c r="E29" s="276">
        <v>75916.274999999994</v>
      </c>
      <c r="F29" s="273">
        <f>E29/D29</f>
        <v>0.70980199759975671</v>
      </c>
      <c r="G29" s="274">
        <v>0</v>
      </c>
      <c r="H29" s="275"/>
      <c r="I29" s="276">
        <v>0</v>
      </c>
      <c r="J29" s="276">
        <v>0</v>
      </c>
      <c r="K29" s="277"/>
    </row>
    <row r="30" spans="1:11" ht="18">
      <c r="A30" s="224" t="s">
        <v>21</v>
      </c>
      <c r="B30" s="274">
        <v>0</v>
      </c>
      <c r="C30" s="275"/>
      <c r="D30" s="276">
        <v>0</v>
      </c>
      <c r="E30" s="276">
        <v>0</v>
      </c>
      <c r="F30" s="277"/>
      <c r="G30" s="274">
        <v>1</v>
      </c>
      <c r="H30" s="275">
        <f>G30/'أساس الأداء في الطور الإبتدائي'!J31</f>
        <v>8.3333333333333329E-2</v>
      </c>
      <c r="I30" s="276">
        <v>141998.068</v>
      </c>
      <c r="J30" s="276">
        <v>15884.974</v>
      </c>
      <c r="K30" s="277">
        <f t="shared" si="5"/>
        <v>0.11186753611323783</v>
      </c>
    </row>
    <row r="31" spans="1:11" ht="18">
      <c r="A31" s="224" t="s">
        <v>22</v>
      </c>
      <c r="B31" s="274">
        <v>0</v>
      </c>
      <c r="C31" s="275"/>
      <c r="D31" s="276">
        <v>0</v>
      </c>
      <c r="E31" s="276">
        <v>0</v>
      </c>
      <c r="F31" s="277"/>
      <c r="G31" s="274">
        <v>0</v>
      </c>
      <c r="H31" s="275">
        <f>G31/'أساس الأداء في الطور الإبتدائي'!J32</f>
        <v>0</v>
      </c>
      <c r="I31" s="276">
        <v>0</v>
      </c>
      <c r="J31" s="276">
        <v>0</v>
      </c>
      <c r="K31" s="277"/>
    </row>
    <row r="32" spans="1:11" ht="18">
      <c r="A32" s="224" t="s">
        <v>23</v>
      </c>
      <c r="B32" s="274"/>
      <c r="C32" s="275"/>
      <c r="D32" s="276">
        <v>0</v>
      </c>
      <c r="E32" s="276">
        <v>0</v>
      </c>
      <c r="F32" s="277"/>
      <c r="G32" s="274"/>
      <c r="H32" s="275">
        <v>0</v>
      </c>
      <c r="I32" s="276">
        <v>0</v>
      </c>
      <c r="J32" s="276">
        <v>0</v>
      </c>
      <c r="K32" s="277"/>
    </row>
    <row r="33" spans="1:11" ht="18">
      <c r="A33" s="224" t="s">
        <v>24</v>
      </c>
      <c r="B33" s="274">
        <v>0</v>
      </c>
      <c r="C33" s="275"/>
      <c r="D33" s="276">
        <v>0</v>
      </c>
      <c r="E33" s="276">
        <v>0</v>
      </c>
      <c r="F33" s="277"/>
      <c r="G33" s="274">
        <v>0</v>
      </c>
      <c r="H33" s="275">
        <f>G33/'أساس الأداء في الطور الإبتدائي'!J34</f>
        <v>0</v>
      </c>
      <c r="I33" s="276">
        <v>0</v>
      </c>
      <c r="J33" s="276">
        <v>0</v>
      </c>
      <c r="K33" s="277"/>
    </row>
    <row r="34" spans="1:11" ht="18.75" thickBot="1">
      <c r="A34" s="224" t="s">
        <v>25</v>
      </c>
      <c r="B34" s="274">
        <v>0</v>
      </c>
      <c r="C34" s="275"/>
      <c r="D34" s="276">
        <v>0</v>
      </c>
      <c r="E34" s="276">
        <v>0</v>
      </c>
      <c r="F34" s="277"/>
      <c r="G34" s="274">
        <v>1</v>
      </c>
      <c r="H34" s="275">
        <f>G34/'أساس الأداء في الطور الإبتدائي'!J35</f>
        <v>0.25</v>
      </c>
      <c r="I34" s="276">
        <v>20615.407999999999</v>
      </c>
      <c r="J34" s="276">
        <v>6706.1629999999996</v>
      </c>
      <c r="K34" s="277">
        <f t="shared" si="5"/>
        <v>0.32529858249713028</v>
      </c>
    </row>
    <row r="35" spans="1:11" ht="18.75" thickBot="1">
      <c r="A35" s="218" t="s">
        <v>34</v>
      </c>
      <c r="B35" s="214">
        <f>SUM(B6:B34)</f>
        <v>146</v>
      </c>
      <c r="C35" s="236">
        <f>B35/'أساس الأداء في الطور الإبتدائي'!D36</f>
        <v>0.3208791208791209</v>
      </c>
      <c r="D35" s="215">
        <f>SUM(D6:D34)</f>
        <v>31665262.024999999</v>
      </c>
      <c r="E35" s="215">
        <f>SUM(E6:E34)</f>
        <v>16515186.209999999</v>
      </c>
      <c r="F35" s="236">
        <f>E35/D35</f>
        <v>0.52155533078997152</v>
      </c>
      <c r="G35" s="214">
        <f>SUM(G6:G34)</f>
        <v>166</v>
      </c>
      <c r="H35" s="236">
        <f>G35/'أساس الأداء في الطور الإبتدائي'!J36</f>
        <v>0.15601503759398497</v>
      </c>
      <c r="I35" s="215">
        <f>SUM(I6:I34)</f>
        <v>70791015.765000015</v>
      </c>
      <c r="J35" s="215">
        <f>SUM(J6:J34)</f>
        <v>20204489.077999998</v>
      </c>
      <c r="K35" s="236">
        <f>J35/I35</f>
        <v>0.28541035694517264</v>
      </c>
    </row>
    <row r="36" spans="1:11" ht="18">
      <c r="A36" s="326" t="s">
        <v>36</v>
      </c>
      <c r="B36" s="430" t="s">
        <v>117</v>
      </c>
      <c r="C36" s="430"/>
      <c r="D36" s="430"/>
      <c r="E36" s="430"/>
      <c r="F36" s="430"/>
      <c r="G36" s="430"/>
      <c r="H36" s="160"/>
      <c r="I36" s="160"/>
      <c r="J36" s="160"/>
      <c r="K36" s="160"/>
    </row>
    <row r="37" spans="1:11" ht="18">
      <c r="A37" s="144"/>
      <c r="B37" s="156"/>
      <c r="C37" s="156"/>
      <c r="D37" s="156"/>
      <c r="E37" s="157"/>
      <c r="F37" s="157"/>
      <c r="G37" s="158"/>
      <c r="H37" s="156"/>
      <c r="I37" s="156"/>
      <c r="J37" s="157"/>
      <c r="K37" s="157"/>
    </row>
  </sheetData>
  <mergeCells count="10">
    <mergeCell ref="G4:K4"/>
    <mergeCell ref="J3:K3"/>
    <mergeCell ref="B36:G36"/>
    <mergeCell ref="B4:F4"/>
    <mergeCell ref="D2:H2"/>
    <mergeCell ref="A1:B1"/>
    <mergeCell ref="C1:D1"/>
    <mergeCell ref="E1:F1"/>
    <mergeCell ref="G1:H1"/>
    <mergeCell ref="I1:K1"/>
  </mergeCells>
  <pageMargins left="0.19685039370078741" right="0.19685039370078741" top="0.27559055118110237" bottom="0.23622047244094491" header="0.19685039370078741" footer="0.19685039370078741"/>
  <pageSetup paperSize="9" scale="79" orientation="landscape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J38"/>
  <sheetViews>
    <sheetView rightToLeft="1" view="pageBreakPreview" zoomScale="60" workbookViewId="0">
      <selection activeCell="C3" sqref="C3:J3"/>
    </sheetView>
  </sheetViews>
  <sheetFormatPr baseColWidth="10" defaultRowHeight="12.75"/>
  <cols>
    <col min="1" max="1" width="4.7109375" customWidth="1"/>
    <col min="2" max="2" width="23" customWidth="1"/>
    <col min="3" max="3" width="7" customWidth="1"/>
    <col min="4" max="4" width="11.28515625" customWidth="1"/>
    <col min="5" max="5" width="22.7109375" customWidth="1"/>
    <col min="6" max="6" width="7.7109375" customWidth="1"/>
    <col min="7" max="7" width="11.5703125" customWidth="1"/>
    <col min="8" max="8" width="22.5703125" customWidth="1"/>
    <col min="9" max="9" width="1.85546875" customWidth="1"/>
  </cols>
  <sheetData>
    <row r="1" spans="2:10" ht="34.5" customHeight="1">
      <c r="B1" s="371"/>
      <c r="C1" s="371"/>
      <c r="D1" s="371"/>
      <c r="E1" s="371"/>
      <c r="F1" s="371"/>
      <c r="G1" s="371"/>
      <c r="H1" s="436" t="s">
        <v>124</v>
      </c>
      <c r="I1" s="436"/>
      <c r="J1" s="436"/>
    </row>
    <row r="2" spans="2:10" ht="13.5" customHeight="1">
      <c r="B2" s="144"/>
      <c r="C2" s="437"/>
      <c r="D2" s="437"/>
      <c r="E2" s="437"/>
      <c r="F2" s="437"/>
      <c r="G2" s="437"/>
      <c r="H2" s="437"/>
      <c r="I2" s="437"/>
      <c r="J2" s="437"/>
    </row>
    <row r="3" spans="2:10" ht="51" customHeight="1">
      <c r="B3" s="144"/>
      <c r="C3" s="437" t="s">
        <v>85</v>
      </c>
      <c r="D3" s="437"/>
      <c r="E3" s="437"/>
      <c r="F3" s="437"/>
      <c r="G3" s="437"/>
      <c r="H3" s="437"/>
      <c r="I3" s="437"/>
      <c r="J3" s="437"/>
    </row>
    <row r="4" spans="2:10" ht="20.25" customHeight="1" thickBot="1">
      <c r="B4" s="144"/>
      <c r="C4" s="156"/>
      <c r="D4" s="156"/>
      <c r="E4" s="156"/>
      <c r="F4" s="157"/>
      <c r="G4" s="130"/>
      <c r="H4" s="379" t="s">
        <v>76</v>
      </c>
      <c r="I4" s="158"/>
    </row>
    <row r="5" spans="2:10" ht="18.75" customHeight="1" thickBot="1">
      <c r="B5" s="216" t="s">
        <v>59</v>
      </c>
      <c r="C5" s="433" t="s">
        <v>74</v>
      </c>
      <c r="D5" s="433"/>
      <c r="E5" s="433"/>
      <c r="F5" s="433" t="s">
        <v>113</v>
      </c>
      <c r="G5" s="433"/>
      <c r="H5" s="433"/>
      <c r="I5" s="161"/>
    </row>
    <row r="6" spans="2:10" ht="18.75" thickBot="1">
      <c r="B6" s="217" t="s">
        <v>83</v>
      </c>
      <c r="C6" s="219" t="s">
        <v>0</v>
      </c>
      <c r="D6" s="219" t="s">
        <v>80</v>
      </c>
      <c r="E6" s="220" t="s">
        <v>88</v>
      </c>
      <c r="F6" s="219" t="s">
        <v>0</v>
      </c>
      <c r="G6" s="219" t="s">
        <v>80</v>
      </c>
      <c r="H6" s="220" t="s">
        <v>88</v>
      </c>
      <c r="I6" s="130"/>
    </row>
    <row r="7" spans="2:10" ht="20.100000000000001" customHeight="1">
      <c r="B7" s="224" t="s">
        <v>66</v>
      </c>
      <c r="C7" s="285">
        <v>3</v>
      </c>
      <c r="D7" s="286">
        <f>C7/'أساس الأداء في الطور الإبتدائي'!D7</f>
        <v>0.14285714285714285</v>
      </c>
      <c r="E7" s="287">
        <v>9156807</v>
      </c>
      <c r="F7" s="288">
        <v>9</v>
      </c>
      <c r="G7" s="286">
        <f>F7/'أساس الأداء في الطور الإبتدائي'!J7</f>
        <v>0.14754098360655737</v>
      </c>
      <c r="H7" s="289">
        <v>1210155</v>
      </c>
      <c r="I7" s="130"/>
    </row>
    <row r="8" spans="2:10" ht="20.100000000000001" customHeight="1">
      <c r="B8" s="225" t="s">
        <v>65</v>
      </c>
      <c r="C8" s="278">
        <v>0</v>
      </c>
      <c r="D8" s="272"/>
      <c r="E8" s="290">
        <v>0</v>
      </c>
      <c r="F8" s="291">
        <v>0</v>
      </c>
      <c r="G8" s="272">
        <f>F8/'أساس الأداء في الطور الإبتدائي'!J8</f>
        <v>0</v>
      </c>
      <c r="H8" s="292">
        <v>0</v>
      </c>
      <c r="I8" s="130"/>
    </row>
    <row r="9" spans="2:10" ht="20.100000000000001" customHeight="1">
      <c r="B9" s="224" t="s">
        <v>2</v>
      </c>
      <c r="C9" s="278">
        <v>13</v>
      </c>
      <c r="D9" s="272">
        <f>C9/'أساس الأداء في الطور الإبتدائي'!D9</f>
        <v>0.30232558139534882</v>
      </c>
      <c r="E9" s="290">
        <v>578000</v>
      </c>
      <c r="F9" s="291">
        <v>52</v>
      </c>
      <c r="G9" s="272">
        <f>F9/'أساس الأداء في الطور الإبتدائي'!J9</f>
        <v>0.46017699115044247</v>
      </c>
      <c r="H9" s="292">
        <v>1926759</v>
      </c>
      <c r="I9" s="130"/>
    </row>
    <row r="10" spans="2:10" ht="20.100000000000001" customHeight="1">
      <c r="B10" s="224" t="s">
        <v>3</v>
      </c>
      <c r="C10" s="278">
        <v>15</v>
      </c>
      <c r="D10" s="272">
        <f>C10/'أساس الأداء في الطور الإبتدائي'!D10</f>
        <v>0.45454545454545453</v>
      </c>
      <c r="E10" s="290">
        <v>526000</v>
      </c>
      <c r="F10" s="291">
        <v>20</v>
      </c>
      <c r="G10" s="272">
        <f>F10/'أساس الأداء في الطور الإبتدائي'!J10</f>
        <v>0.38461538461538464</v>
      </c>
      <c r="H10" s="292">
        <v>2190151</v>
      </c>
      <c r="I10" s="130"/>
    </row>
    <row r="11" spans="2:10" ht="20.100000000000001" customHeight="1">
      <c r="B11" s="224" t="s">
        <v>68</v>
      </c>
      <c r="C11" s="278">
        <v>4</v>
      </c>
      <c r="D11" s="272">
        <f>C11/'أساس الأداء في الطور الإبتدائي'!D11</f>
        <v>0.15384615384615385</v>
      </c>
      <c r="E11" s="290">
        <v>591940</v>
      </c>
      <c r="F11" s="291">
        <v>11</v>
      </c>
      <c r="G11" s="272">
        <f>F11/'أساس الأداء في الطور الإبتدائي'!J11</f>
        <v>0.3235294117647059</v>
      </c>
      <c r="H11" s="292">
        <v>524057</v>
      </c>
      <c r="I11" s="130"/>
    </row>
    <row r="12" spans="2:10" ht="20.100000000000001" customHeight="1">
      <c r="B12" s="224" t="s">
        <v>4</v>
      </c>
      <c r="C12" s="278">
        <v>5</v>
      </c>
      <c r="D12" s="272"/>
      <c r="E12" s="290">
        <v>308302</v>
      </c>
      <c r="F12" s="291">
        <v>10</v>
      </c>
      <c r="G12" s="272">
        <f>F12/'أساس الأداء في الطور الإبتدائي'!J12</f>
        <v>0.27027027027027029</v>
      </c>
      <c r="H12" s="292">
        <v>1284311</v>
      </c>
      <c r="I12" s="130"/>
    </row>
    <row r="13" spans="2:10" ht="20.100000000000001" customHeight="1">
      <c r="B13" s="224" t="s">
        <v>5</v>
      </c>
      <c r="C13" s="278">
        <v>14</v>
      </c>
      <c r="D13" s="272">
        <f>C13/'أساس الأداء في الطور الإبتدائي'!D13</f>
        <v>0.23728813559322035</v>
      </c>
      <c r="E13" s="290">
        <v>375000</v>
      </c>
      <c r="F13" s="291">
        <v>32</v>
      </c>
      <c r="G13" s="272">
        <f>F13/'أساس الأداء في الطور الإبتدائي'!J13</f>
        <v>0.26666666666666666</v>
      </c>
      <c r="H13" s="292">
        <v>825989</v>
      </c>
      <c r="I13" s="130"/>
    </row>
    <row r="14" spans="2:10" ht="20.100000000000001" customHeight="1">
      <c r="B14" s="224" t="s">
        <v>6</v>
      </c>
      <c r="C14" s="278">
        <v>2</v>
      </c>
      <c r="D14" s="272">
        <f>C14/'أساس الأداء في الطور الإبتدائي'!D14</f>
        <v>8.3333333333333329E-2</v>
      </c>
      <c r="E14" s="290">
        <v>370000</v>
      </c>
      <c r="F14" s="291">
        <v>10</v>
      </c>
      <c r="G14" s="272">
        <f>F14/'أساس الأداء في الطور الإبتدائي'!J14</f>
        <v>0.30303030303030304</v>
      </c>
      <c r="H14" s="292">
        <v>300380.10399999999</v>
      </c>
      <c r="I14" s="130"/>
    </row>
    <row r="15" spans="2:10" ht="20.100000000000001" customHeight="1">
      <c r="B15" s="224" t="s">
        <v>7</v>
      </c>
      <c r="C15" s="278">
        <v>2</v>
      </c>
      <c r="D15" s="272">
        <f>C15/'أساس الأداء في الطور الإبتدائي'!D15</f>
        <v>4.2553191489361701E-2</v>
      </c>
      <c r="E15" s="290">
        <v>132775.34299999999</v>
      </c>
      <c r="F15" s="291">
        <v>49</v>
      </c>
      <c r="G15" s="272">
        <f>F15/'أساس الأداء في الطور الإبتدائي'!J15</f>
        <v>0.35251798561151076</v>
      </c>
      <c r="H15" s="292">
        <v>4199593.5590000004</v>
      </c>
      <c r="I15" s="130"/>
    </row>
    <row r="16" spans="2:10" ht="20.100000000000001" customHeight="1">
      <c r="B16" s="224" t="s">
        <v>71</v>
      </c>
      <c r="C16" s="278">
        <v>0</v>
      </c>
      <c r="D16" s="272">
        <f>C16/'أساس الأداء في الطور الإبتدائي'!D16</f>
        <v>0</v>
      </c>
      <c r="E16" s="290">
        <v>0</v>
      </c>
      <c r="F16" s="291">
        <v>2</v>
      </c>
      <c r="G16" s="272">
        <f>F16/'أساس الأداء في الطور الإبتدائي'!J16</f>
        <v>0.08</v>
      </c>
      <c r="H16" s="292">
        <v>166636</v>
      </c>
      <c r="I16" s="130"/>
    </row>
    <row r="17" spans="2:9" ht="20.100000000000001" customHeight="1">
      <c r="B17" s="224" t="s">
        <v>72</v>
      </c>
      <c r="C17" s="278">
        <v>0</v>
      </c>
      <c r="D17" s="272"/>
      <c r="E17" s="290">
        <v>0</v>
      </c>
      <c r="F17" s="291">
        <v>0</v>
      </c>
      <c r="G17" s="293"/>
      <c r="H17" s="292">
        <v>0</v>
      </c>
      <c r="I17" s="130"/>
    </row>
    <row r="18" spans="2:9" ht="20.100000000000001" customHeight="1">
      <c r="B18" s="224" t="s">
        <v>8</v>
      </c>
      <c r="C18" s="278">
        <v>7</v>
      </c>
      <c r="D18" s="272">
        <f>C18/'أساس الأداء في الطور الإبتدائي'!D18</f>
        <v>0.18421052631578946</v>
      </c>
      <c r="E18" s="290">
        <v>472000</v>
      </c>
      <c r="F18" s="291">
        <v>28</v>
      </c>
      <c r="G18" s="272">
        <f>F18/'أساس الأداء في الطور الإبتدائي'!J18</f>
        <v>0.31111111111111112</v>
      </c>
      <c r="H18" s="292">
        <v>1628674</v>
      </c>
      <c r="I18" s="130"/>
    </row>
    <row r="19" spans="2:9" ht="20.100000000000001" customHeight="1">
      <c r="B19" s="224" t="s">
        <v>9</v>
      </c>
      <c r="C19" s="278">
        <v>2</v>
      </c>
      <c r="D19" s="272">
        <f>C19/'أساس الأداء في الطور الإبتدائي'!D19</f>
        <v>0.10526315789473684</v>
      </c>
      <c r="E19" s="290">
        <v>28944</v>
      </c>
      <c r="F19" s="291">
        <v>4</v>
      </c>
      <c r="G19" s="272">
        <f>F19/'أساس الأداء في الطور الإبتدائي'!J19</f>
        <v>9.3023255813953487E-2</v>
      </c>
      <c r="H19" s="292">
        <v>154737.95699999999</v>
      </c>
      <c r="I19" s="130"/>
    </row>
    <row r="20" spans="2:9" ht="20.100000000000001" customHeight="1">
      <c r="B20" s="224" t="s">
        <v>10</v>
      </c>
      <c r="C20" s="278">
        <v>3</v>
      </c>
      <c r="D20" s="272">
        <f>C20/'أساس الأداء في الطور الإبتدائي'!D20</f>
        <v>0.16666666666666666</v>
      </c>
      <c r="E20" s="290">
        <v>37756</v>
      </c>
      <c r="F20" s="291">
        <v>12</v>
      </c>
      <c r="G20" s="272">
        <f>F20/'أساس الأداء في الطور الإبتدائي'!J20</f>
        <v>0.16216216216216217</v>
      </c>
      <c r="H20" s="292">
        <v>549106</v>
      </c>
      <c r="I20" s="130"/>
    </row>
    <row r="21" spans="2:9" ht="20.100000000000001" customHeight="1">
      <c r="B21" s="224" t="s">
        <v>11</v>
      </c>
      <c r="C21" s="278">
        <v>0</v>
      </c>
      <c r="D21" s="272">
        <f>C21/'أساس الأداء في الطور الإبتدائي'!D21</f>
        <v>0</v>
      </c>
      <c r="E21" s="290">
        <v>0</v>
      </c>
      <c r="F21" s="291">
        <v>1</v>
      </c>
      <c r="G21" s="272">
        <f>F21/'أساس الأداء في الطور الإبتدائي'!J21</f>
        <v>4.7619047619047616E-2</v>
      </c>
      <c r="H21" s="292">
        <v>310451</v>
      </c>
      <c r="I21" s="130"/>
    </row>
    <row r="22" spans="2:9" ht="20.100000000000001" customHeight="1">
      <c r="B22" s="224" t="s">
        <v>12</v>
      </c>
      <c r="C22" s="278">
        <v>0</v>
      </c>
      <c r="D22" s="272">
        <f>C22/'أساس الأداء في الطور الإبتدائي'!D22</f>
        <v>0</v>
      </c>
      <c r="E22" s="290">
        <v>0</v>
      </c>
      <c r="F22" s="291">
        <v>4</v>
      </c>
      <c r="G22" s="272">
        <f>F22/'أساس الأداء في الطور الإبتدائي'!J22</f>
        <v>0.14814814814814814</v>
      </c>
      <c r="H22" s="292">
        <v>235765</v>
      </c>
      <c r="I22" s="130"/>
    </row>
    <row r="23" spans="2:9" ht="20.100000000000001" customHeight="1">
      <c r="B23" s="224" t="s">
        <v>13</v>
      </c>
      <c r="C23" s="278">
        <v>1</v>
      </c>
      <c r="D23" s="272">
        <f>C23/'أساس الأداء في الطور الإبتدائي'!D23</f>
        <v>0.25</v>
      </c>
      <c r="E23" s="290">
        <v>65571</v>
      </c>
      <c r="F23" s="291">
        <v>3</v>
      </c>
      <c r="G23" s="272">
        <f>F23/'أساس الأداء في الطور الإبتدائي'!J23</f>
        <v>0.3</v>
      </c>
      <c r="H23" s="292">
        <v>82942</v>
      </c>
      <c r="I23" s="130"/>
    </row>
    <row r="24" spans="2:9" ht="20.100000000000001" customHeight="1">
      <c r="B24" s="224" t="s">
        <v>14</v>
      </c>
      <c r="C24" s="278"/>
      <c r="D24" s="272">
        <f>C24/'أساس الأداء في الطور الإبتدائي'!D24</f>
        <v>0</v>
      </c>
      <c r="E24" s="290">
        <v>0</v>
      </c>
      <c r="F24" s="291">
        <v>1</v>
      </c>
      <c r="G24" s="272">
        <f>F24/'أساس الأداء في الطور الإبتدائي'!J24</f>
        <v>0.1</v>
      </c>
      <c r="H24" s="292">
        <v>3088</v>
      </c>
      <c r="I24" s="130"/>
    </row>
    <row r="25" spans="2:9" ht="20.100000000000001" customHeight="1">
      <c r="B25" s="224" t="s">
        <v>15</v>
      </c>
      <c r="C25" s="278">
        <v>1</v>
      </c>
      <c r="D25" s="272">
        <f>C25/'أساس الأداء في الطور الإبتدائي'!D25</f>
        <v>8.3333333333333329E-2</v>
      </c>
      <c r="E25" s="290">
        <v>25043</v>
      </c>
      <c r="F25" s="291">
        <v>2</v>
      </c>
      <c r="G25" s="272">
        <f>F25/'أساس الأداء في الطور الإبتدائي'!J25</f>
        <v>3.3333333333333333E-2</v>
      </c>
      <c r="H25" s="292">
        <v>18661</v>
      </c>
      <c r="I25" s="130"/>
    </row>
    <row r="26" spans="2:9" ht="20.100000000000001" customHeight="1">
      <c r="B26" s="224" t="s">
        <v>16</v>
      </c>
      <c r="C26" s="278"/>
      <c r="D26" s="272">
        <f>C26/'أساس الأداء في الطور الإبتدائي'!D26</f>
        <v>0</v>
      </c>
      <c r="E26" s="290">
        <v>0</v>
      </c>
      <c r="F26" s="291">
        <v>1</v>
      </c>
      <c r="G26" s="272">
        <f>F26/'أساس الأداء في الطور الإبتدائي'!J26</f>
        <v>7.6923076923076927E-2</v>
      </c>
      <c r="H26" s="292">
        <v>50045</v>
      </c>
      <c r="I26" s="130"/>
    </row>
    <row r="27" spans="2:9" ht="20.100000000000001" customHeight="1">
      <c r="B27" s="224" t="s">
        <v>17</v>
      </c>
      <c r="C27" s="278">
        <v>2</v>
      </c>
      <c r="D27" s="272">
        <f>C27/'أساس الأداء في الطور الإبتدائي'!D27</f>
        <v>0.13333333333333333</v>
      </c>
      <c r="E27" s="290">
        <v>44668</v>
      </c>
      <c r="F27" s="291">
        <v>2</v>
      </c>
      <c r="G27" s="272">
        <f>F27/'أساس الأداء في الطور الإبتدائي'!J27</f>
        <v>4.2553191489361701E-2</v>
      </c>
      <c r="H27" s="292">
        <v>2787.973</v>
      </c>
      <c r="I27" s="130"/>
    </row>
    <row r="28" spans="2:9" ht="20.100000000000001" customHeight="1">
      <c r="B28" s="224" t="s">
        <v>18</v>
      </c>
      <c r="C28" s="278">
        <v>1</v>
      </c>
      <c r="D28" s="272">
        <f>C28/'أساس الأداء في الطور الإبتدائي'!D28</f>
        <v>0.25</v>
      </c>
      <c r="E28" s="290">
        <v>56412</v>
      </c>
      <c r="F28" s="291">
        <v>0</v>
      </c>
      <c r="G28" s="272"/>
      <c r="H28" s="292">
        <v>0</v>
      </c>
      <c r="I28" s="130"/>
    </row>
    <row r="29" spans="2:9" ht="20.100000000000001" customHeight="1">
      <c r="B29" s="224" t="s">
        <v>19</v>
      </c>
      <c r="C29" s="278">
        <v>0</v>
      </c>
      <c r="D29" s="272"/>
      <c r="E29" s="290">
        <v>0</v>
      </c>
      <c r="F29" s="291">
        <v>0</v>
      </c>
      <c r="G29" s="272"/>
      <c r="H29" s="292">
        <v>0</v>
      </c>
      <c r="I29" s="130"/>
    </row>
    <row r="30" spans="2:9" ht="20.100000000000001" customHeight="1">
      <c r="B30" s="224" t="s">
        <v>20</v>
      </c>
      <c r="C30" s="278">
        <v>0</v>
      </c>
      <c r="D30" s="272"/>
      <c r="E30" s="290">
        <v>0</v>
      </c>
      <c r="F30" s="291">
        <v>0</v>
      </c>
      <c r="G30" s="272"/>
      <c r="H30" s="292">
        <v>0</v>
      </c>
      <c r="I30" s="130"/>
    </row>
    <row r="31" spans="2:9" ht="20.100000000000001" customHeight="1">
      <c r="B31" s="224" t="s">
        <v>21</v>
      </c>
      <c r="C31" s="278">
        <v>0</v>
      </c>
      <c r="D31" s="272"/>
      <c r="E31" s="290">
        <v>0</v>
      </c>
      <c r="F31" s="291">
        <v>1</v>
      </c>
      <c r="G31" s="272">
        <f>F31/'أساس الأداء في الطور الإبتدائي'!J31</f>
        <v>8.3333333333333329E-2</v>
      </c>
      <c r="H31" s="292">
        <v>10992.762000000001</v>
      </c>
      <c r="I31" s="130"/>
    </row>
    <row r="32" spans="2:9" ht="20.100000000000001" customHeight="1">
      <c r="B32" s="224" t="s">
        <v>22</v>
      </c>
      <c r="C32" s="278">
        <v>0</v>
      </c>
      <c r="D32" s="272"/>
      <c r="E32" s="290">
        <v>0</v>
      </c>
      <c r="F32" s="291">
        <v>0</v>
      </c>
      <c r="G32" s="272"/>
      <c r="H32" s="292">
        <v>0</v>
      </c>
      <c r="I32" s="130"/>
    </row>
    <row r="33" spans="2:9" ht="20.100000000000001" customHeight="1">
      <c r="B33" s="224" t="s">
        <v>23</v>
      </c>
      <c r="C33" s="278">
        <v>0</v>
      </c>
      <c r="D33" s="272"/>
      <c r="E33" s="290">
        <v>0</v>
      </c>
      <c r="F33" s="291">
        <v>0</v>
      </c>
      <c r="G33" s="272"/>
      <c r="H33" s="292">
        <v>0</v>
      </c>
      <c r="I33" s="130"/>
    </row>
    <row r="34" spans="2:9" ht="20.100000000000001" customHeight="1">
      <c r="B34" s="224" t="s">
        <v>24</v>
      </c>
      <c r="C34" s="278">
        <v>0</v>
      </c>
      <c r="D34" s="272"/>
      <c r="E34" s="290">
        <v>0</v>
      </c>
      <c r="F34" s="291">
        <v>0</v>
      </c>
      <c r="G34" s="272"/>
      <c r="H34" s="292">
        <v>0</v>
      </c>
      <c r="I34" s="130"/>
    </row>
    <row r="35" spans="2:9" ht="20.100000000000001" customHeight="1" thickBot="1">
      <c r="B35" s="224" t="s">
        <v>25</v>
      </c>
      <c r="C35" s="278">
        <v>0</v>
      </c>
      <c r="D35" s="294"/>
      <c r="E35" s="295">
        <v>0</v>
      </c>
      <c r="F35" s="296">
        <v>1</v>
      </c>
      <c r="G35" s="294">
        <f>F35/'أساس الأداء في الطور الإبتدائي'!J35</f>
        <v>0.25</v>
      </c>
      <c r="H35" s="297">
        <v>2550.5619999999999</v>
      </c>
      <c r="I35" s="130"/>
    </row>
    <row r="36" spans="2:9" ht="21" thickBot="1">
      <c r="B36" s="237" t="s">
        <v>34</v>
      </c>
      <c r="C36" s="221">
        <f>SUM(C7:C35)</f>
        <v>75</v>
      </c>
      <c r="D36" s="258">
        <f>C36/'أساس الأداء في الطور الإبتدائي'!D36</f>
        <v>0.16483516483516483</v>
      </c>
      <c r="E36" s="222">
        <f>SUM(E7:E35)</f>
        <v>12769218.343</v>
      </c>
      <c r="F36" s="221">
        <f>SUM(F7:F35)</f>
        <v>255</v>
      </c>
      <c r="G36" s="258">
        <f>F36/'أساس الأداء في الطور الإبتدائي'!J36</f>
        <v>0.23966165413533835</v>
      </c>
      <c r="H36" s="222">
        <f>SUM(H7:H35)</f>
        <v>15677832.917000001</v>
      </c>
      <c r="I36" s="130"/>
    </row>
    <row r="37" spans="2:9" ht="18">
      <c r="B37" s="326" t="s">
        <v>36</v>
      </c>
      <c r="C37" s="430" t="s">
        <v>119</v>
      </c>
      <c r="D37" s="430"/>
      <c r="E37" s="430"/>
      <c r="F37" s="430"/>
      <c r="G37" s="430"/>
      <c r="H37" s="430"/>
      <c r="I37" s="130"/>
    </row>
    <row r="38" spans="2:9" ht="18">
      <c r="B38" s="159"/>
      <c r="C38" s="430"/>
      <c r="D38" s="430"/>
      <c r="E38" s="430"/>
      <c r="F38" s="430"/>
      <c r="G38" s="160"/>
      <c r="H38" s="160"/>
      <c r="I38" s="160"/>
    </row>
  </sheetData>
  <mergeCells count="7">
    <mergeCell ref="H1:J1"/>
    <mergeCell ref="C38:F38"/>
    <mergeCell ref="C5:E5"/>
    <mergeCell ref="F5:H5"/>
    <mergeCell ref="C37:H37"/>
    <mergeCell ref="C2:J2"/>
    <mergeCell ref="C3:J3"/>
  </mergeCells>
  <pageMargins left="0.19685039370078741" right="0.27559055118110237" top="0.74803149606299213" bottom="0.74803149606299213" header="0.31496062992125984" footer="0.31496062992125984"/>
  <pageSetup paperSize="9" scale="94" orientation="portrait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N16"/>
  <sheetViews>
    <sheetView rightToLeft="1" view="pageBreakPreview" zoomScale="60" workbookViewId="0">
      <selection activeCell="B2" sqref="B2:L2"/>
    </sheetView>
  </sheetViews>
  <sheetFormatPr baseColWidth="10" defaultRowHeight="12.75"/>
  <cols>
    <col min="1" max="1" width="3.5703125" customWidth="1"/>
    <col min="2" max="2" width="30.5703125" customWidth="1"/>
    <col min="3" max="3" width="10.42578125" customWidth="1"/>
    <col min="4" max="4" width="11.85546875" customWidth="1"/>
    <col min="5" max="5" width="24.28515625" customWidth="1"/>
    <col min="6" max="6" width="24.140625" customWidth="1"/>
    <col min="7" max="7" width="14.7109375" customWidth="1"/>
    <col min="9" max="9" width="13.5703125" customWidth="1"/>
    <col min="10" max="10" width="24.140625" customWidth="1"/>
    <col min="11" max="11" width="25.85546875" customWidth="1"/>
    <col min="12" max="12" width="14" customWidth="1"/>
  </cols>
  <sheetData>
    <row r="1" spans="2:14" ht="33.75" customHeight="1">
      <c r="B1" s="130"/>
      <c r="C1" s="130"/>
      <c r="D1" s="130"/>
      <c r="E1" s="130"/>
      <c r="F1" s="130"/>
      <c r="G1" s="130"/>
      <c r="H1" s="131"/>
      <c r="I1" s="130"/>
      <c r="J1" s="371"/>
      <c r="K1" s="441" t="s">
        <v>125</v>
      </c>
      <c r="L1" s="441"/>
      <c r="M1" s="441"/>
      <c r="N1" s="372"/>
    </row>
    <row r="2" spans="2:14" ht="69.75" customHeight="1" thickBot="1">
      <c r="B2" s="438" t="s">
        <v>79</v>
      </c>
      <c r="C2" s="438"/>
      <c r="D2" s="438"/>
      <c r="E2" s="438"/>
      <c r="F2" s="438"/>
      <c r="G2" s="438"/>
      <c r="H2" s="438"/>
      <c r="I2" s="438"/>
      <c r="J2" s="438"/>
      <c r="K2" s="438"/>
      <c r="L2" s="438"/>
    </row>
    <row r="3" spans="2:14" ht="43.5" customHeight="1" thickBot="1">
      <c r="B3" s="439" t="s">
        <v>59</v>
      </c>
      <c r="C3" s="418" t="s">
        <v>74</v>
      </c>
      <c r="D3" s="418"/>
      <c r="E3" s="418"/>
      <c r="F3" s="418"/>
      <c r="G3" s="418"/>
      <c r="H3" s="418" t="s">
        <v>113</v>
      </c>
      <c r="I3" s="418"/>
      <c r="J3" s="418"/>
      <c r="K3" s="418"/>
      <c r="L3" s="418"/>
    </row>
    <row r="4" spans="2:14" ht="39.75" customHeight="1" thickBot="1">
      <c r="B4" s="440"/>
      <c r="C4" s="221" t="s">
        <v>0</v>
      </c>
      <c r="D4" s="221" t="s">
        <v>37</v>
      </c>
      <c r="E4" s="221" t="s">
        <v>33</v>
      </c>
      <c r="F4" s="249" t="s">
        <v>84</v>
      </c>
      <c r="G4" s="223" t="s">
        <v>32</v>
      </c>
      <c r="H4" s="221" t="s">
        <v>0</v>
      </c>
      <c r="I4" s="221" t="s">
        <v>32</v>
      </c>
      <c r="J4" s="249" t="s">
        <v>84</v>
      </c>
      <c r="K4" s="221" t="s">
        <v>33</v>
      </c>
      <c r="L4" s="223" t="s">
        <v>32</v>
      </c>
    </row>
    <row r="5" spans="2:14" ht="85.5" customHeight="1">
      <c r="B5" s="239" t="s">
        <v>78</v>
      </c>
      <c r="C5" s="238">
        <f>'أساس الأداء في الطور الإبتدائي'!D36</f>
        <v>455</v>
      </c>
      <c r="D5" s="240">
        <f>'أساس الأداء في الطور الإبتدائي'!E36</f>
        <v>0.39703315881326351</v>
      </c>
      <c r="E5" s="241">
        <f>'أساس الأداء في الطور الإبتدائي'!G36</f>
        <v>174109840.544</v>
      </c>
      <c r="F5" s="241">
        <f>'أساس الأداء في الطور الإبتدائي'!F36</f>
        <v>206180110.70199999</v>
      </c>
      <c r="G5" s="240">
        <f>E5/F5</f>
        <v>0.84445507353348748</v>
      </c>
      <c r="H5" s="238">
        <f>'أساس الأداء في الطور الإبتدائي'!J36</f>
        <v>1064</v>
      </c>
      <c r="I5" s="240">
        <f>'أساس الأداء في الطور الإبتدائي'!K36</f>
        <v>0.27657915258643101</v>
      </c>
      <c r="J5" s="241">
        <f>'أساس الأداء في الطور الإبتدائي'!L36</f>
        <v>279055332.87300003</v>
      </c>
      <c r="K5" s="241">
        <f>'أساس الأداء في الطور الإبتدائي'!M36</f>
        <v>201695184.96000001</v>
      </c>
      <c r="L5" s="240">
        <f>K5/J5</f>
        <v>0.72277846434059323</v>
      </c>
    </row>
    <row r="6" spans="2:14" ht="72" customHeight="1">
      <c r="B6" s="239" t="s">
        <v>89</v>
      </c>
      <c r="C6" s="242">
        <f>'قرارات التوظيف الإجباري'!C36</f>
        <v>31</v>
      </c>
      <c r="D6" s="243">
        <f>'قرارات التوظيف الإجباري'!D36</f>
        <v>6.8131868131868126E-2</v>
      </c>
      <c r="E6" s="244">
        <f>'قرارات التوظيف الإجباري'!F36</f>
        <v>2484733</v>
      </c>
      <c r="F6" s="244">
        <f>'قرارات التوظيف الإجباري'!E36</f>
        <v>6635709</v>
      </c>
      <c r="G6" s="243">
        <f>E6/F6</f>
        <v>0.37444875897963581</v>
      </c>
      <c r="H6" s="242">
        <f>'قرارات التوظيف الإجباري'!H36</f>
        <v>155</v>
      </c>
      <c r="I6" s="243">
        <f>'قرارات التوظيف الإجباري'!I36</f>
        <v>0.14567669172932332</v>
      </c>
      <c r="J6" s="244">
        <f>'قرارات التوظيف الإجباري'!J36</f>
        <v>17730996.392999999</v>
      </c>
      <c r="K6" s="244">
        <f>'قرارات التوظيف الإجباري'!K36</f>
        <v>6635208.0839999998</v>
      </c>
      <c r="L6" s="243">
        <f>K6/J6</f>
        <v>0.37421518435475554</v>
      </c>
    </row>
    <row r="7" spans="2:14" ht="78" customHeight="1">
      <c r="B7" s="239" t="s">
        <v>87</v>
      </c>
      <c r="C7" s="242">
        <f>'ت,إ المحكوم بإقرارها'!B36</f>
        <v>203</v>
      </c>
      <c r="D7" s="243">
        <f>'ت,إ المحكوم بإقرارها'!C36</f>
        <v>0.44615384615384618</v>
      </c>
      <c r="E7" s="244">
        <f>'ت,إ المحكوم بإقرارها'!D36</f>
        <v>155109921.33399999</v>
      </c>
      <c r="F7" s="244">
        <f>'ت,إ المحكوم بإقرارها'!D36</f>
        <v>155109921.33399999</v>
      </c>
      <c r="G7" s="243">
        <f>E7/F7</f>
        <v>1</v>
      </c>
      <c r="H7" s="242">
        <f>'ت,إ المحكوم بإقرارها'!E36</f>
        <v>488</v>
      </c>
      <c r="I7" s="243">
        <f>'ت,إ المحكوم بإقرارها'!F36</f>
        <v>0.45864661654135336</v>
      </c>
      <c r="J7" s="244">
        <f>'ت,إ المحكوم بإقرارها'!G36</f>
        <v>174855487.79800001</v>
      </c>
      <c r="K7" s="244">
        <f>'ت,إ المحكوم بإقرارها'!G36</f>
        <v>174855487.79800001</v>
      </c>
      <c r="L7" s="243">
        <f>K7/J7</f>
        <v>1</v>
      </c>
    </row>
    <row r="8" spans="2:14" ht="68.25" customHeight="1">
      <c r="B8" s="239" t="s">
        <v>86</v>
      </c>
      <c r="C8" s="242">
        <f>'تعديل قرارات تويف'!B35</f>
        <v>146</v>
      </c>
      <c r="D8" s="243">
        <f>'تعديل قرارات تويف'!C35</f>
        <v>0.3208791208791209</v>
      </c>
      <c r="E8" s="244">
        <f>'تعديل قرارات تويف'!E35</f>
        <v>16515186.209999999</v>
      </c>
      <c r="F8" s="244">
        <f>'تعديل قرارات تويف'!D35</f>
        <v>31665262.024999999</v>
      </c>
      <c r="G8" s="243">
        <f>E8/F8</f>
        <v>0.52155533078997152</v>
      </c>
      <c r="H8" s="242">
        <f>'تعديل قرارات تويف'!G35</f>
        <v>166</v>
      </c>
      <c r="I8" s="243">
        <f>'تعديل قرارات تويف'!H35</f>
        <v>0.15601503759398497</v>
      </c>
      <c r="J8" s="244">
        <f>'تعديل قرارات تويف'!I35</f>
        <v>70791015.765000015</v>
      </c>
      <c r="K8" s="244">
        <f>'تعديل قرارات تويف'!J35</f>
        <v>20204489.077999998</v>
      </c>
      <c r="L8" s="243">
        <f>K8/J8</f>
        <v>0.28541035694517264</v>
      </c>
    </row>
    <row r="9" spans="2:14" ht="78" customHeight="1" thickBot="1">
      <c r="B9" s="245" t="s">
        <v>85</v>
      </c>
      <c r="C9" s="246">
        <f>'إلغاء قرارات تويف'!C36</f>
        <v>75</v>
      </c>
      <c r="D9" s="247">
        <f>'إلغاء قرارات تويف'!D36</f>
        <v>0.16483516483516483</v>
      </c>
      <c r="E9" s="248">
        <v>0</v>
      </c>
      <c r="F9" s="248">
        <f>'إلغاء قرارات تويف'!E36</f>
        <v>12769218.343</v>
      </c>
      <c r="G9" s="247">
        <f>E9/F9</f>
        <v>0</v>
      </c>
      <c r="H9" s="246">
        <f>'إلغاء قرارات تويف'!F36</f>
        <v>255</v>
      </c>
      <c r="I9" s="247">
        <f>'إلغاء قرارات تويف'!G36</f>
        <v>0.23966165413533835</v>
      </c>
      <c r="J9" s="248">
        <f>'إلغاء قرارات تويف'!H36</f>
        <v>15677832.917000001</v>
      </c>
      <c r="K9" s="248">
        <f>'إلغاء قرارات تويف'!I36</f>
        <v>0</v>
      </c>
      <c r="L9" s="247">
        <f>K9/J9</f>
        <v>0</v>
      </c>
    </row>
    <row r="10" spans="2:14" ht="27.75" customHeight="1">
      <c r="I10" s="177"/>
    </row>
    <row r="12" spans="2:14" ht="33.950000000000003" customHeight="1"/>
    <row r="13" spans="2:14" ht="33.950000000000003" customHeight="1">
      <c r="F13" s="178"/>
    </row>
    <row r="14" spans="2:14" ht="33.950000000000003" customHeight="1">
      <c r="D14" s="177"/>
      <c r="F14" s="178"/>
    </row>
    <row r="15" spans="2:14" ht="33.950000000000003" customHeight="1">
      <c r="F15" s="178"/>
    </row>
    <row r="16" spans="2:14" ht="33.950000000000003" customHeight="1"/>
  </sheetData>
  <mergeCells count="5">
    <mergeCell ref="C3:G3"/>
    <mergeCell ref="H3:L3"/>
    <mergeCell ref="B2:L2"/>
    <mergeCell ref="B3:B4"/>
    <mergeCell ref="K1:M1"/>
  </mergeCells>
  <pageMargins left="0.19685039370078741" right="0.2" top="0.53" bottom="0.74803149606299213" header="0.31496062992125984" footer="0.31496062992125984"/>
  <pageSetup paperSize="9" scale="66" orientation="landscape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Y47"/>
  <sheetViews>
    <sheetView rightToLeft="1" view="pageBreakPreview" zoomScale="20" zoomScaleSheetLayoutView="20" workbookViewId="0">
      <selection activeCell="B2" sqref="B2:P2"/>
    </sheetView>
  </sheetViews>
  <sheetFormatPr baseColWidth="10" defaultRowHeight="12.75"/>
  <cols>
    <col min="1" max="1" width="2.42578125" style="62" customWidth="1"/>
    <col min="2" max="2" width="87.28515625" style="62" customWidth="1"/>
    <col min="3" max="3" width="39.140625" style="73" customWidth="1"/>
    <col min="4" max="4" width="38.7109375" style="74" customWidth="1"/>
    <col min="5" max="5" width="42.7109375" style="74" customWidth="1"/>
    <col min="6" max="6" width="75.28515625" style="75" customWidth="1"/>
    <col min="7" max="7" width="82.28515625" style="73" customWidth="1"/>
    <col min="8" max="8" width="82.42578125" style="74" customWidth="1"/>
    <col min="9" max="9" width="37.140625" style="74" customWidth="1"/>
    <col min="10" max="10" width="39.5703125" style="75" customWidth="1"/>
    <col min="11" max="11" width="39.7109375" style="62" customWidth="1"/>
    <col min="12" max="12" width="41" style="62" customWidth="1"/>
    <col min="13" max="13" width="84" style="62" customWidth="1"/>
    <col min="14" max="14" width="76.7109375" style="62" customWidth="1"/>
    <col min="15" max="15" width="78.42578125" style="62" customWidth="1"/>
    <col min="16" max="16" width="39.28515625" style="62" customWidth="1"/>
    <col min="17" max="17" width="1" style="62" hidden="1" customWidth="1"/>
    <col min="18" max="19" width="32.85546875" style="62" customWidth="1"/>
    <col min="20" max="20" width="19.85546875" style="62" customWidth="1"/>
    <col min="21" max="21" width="20.5703125" style="62" customWidth="1"/>
    <col min="22" max="24" width="23.7109375" style="62" customWidth="1"/>
    <col min="25" max="25" width="21.140625" style="62" customWidth="1"/>
    <col min="26" max="27" width="24.42578125" style="62" customWidth="1"/>
    <col min="28" max="16384" width="11.42578125" style="62"/>
  </cols>
  <sheetData>
    <row r="1" spans="2:25" ht="114" customHeight="1">
      <c r="O1" s="443" t="s">
        <v>69</v>
      </c>
      <c r="P1" s="443"/>
    </row>
    <row r="2" spans="2:25" s="78" customFormat="1" ht="170.25" customHeight="1">
      <c r="B2" s="445" t="s">
        <v>27</v>
      </c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</row>
    <row r="3" spans="2:25" s="78" customFormat="1" ht="61.5" customHeight="1"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</row>
    <row r="4" spans="2:25" ht="73.5" customHeight="1" thickBot="1">
      <c r="B4" s="132"/>
      <c r="C4" s="133"/>
      <c r="D4" s="134"/>
      <c r="E4" s="134"/>
      <c r="F4" s="135"/>
      <c r="G4" s="133"/>
      <c r="H4" s="134"/>
      <c r="I4" s="134"/>
      <c r="J4" s="136"/>
      <c r="K4" s="132"/>
      <c r="L4" s="132"/>
      <c r="M4" s="132"/>
      <c r="N4" s="132"/>
      <c r="O4" s="137" t="s">
        <v>77</v>
      </c>
    </row>
    <row r="5" spans="2:25" ht="110.25" customHeight="1" thickBot="1">
      <c r="B5" s="447" t="s">
        <v>83</v>
      </c>
      <c r="C5" s="444" t="s">
        <v>74</v>
      </c>
      <c r="D5" s="444"/>
      <c r="E5" s="444"/>
      <c r="F5" s="444"/>
      <c r="G5" s="444"/>
      <c r="H5" s="444"/>
      <c r="I5" s="444"/>
      <c r="J5" s="444" t="s">
        <v>113</v>
      </c>
      <c r="K5" s="444"/>
      <c r="L5" s="444"/>
      <c r="M5" s="444"/>
      <c r="N5" s="444"/>
      <c r="O5" s="444"/>
      <c r="P5" s="444"/>
    </row>
    <row r="6" spans="2:25" ht="302.25" customHeight="1" thickBot="1">
      <c r="B6" s="447"/>
      <c r="C6" s="250" t="s">
        <v>40</v>
      </c>
      <c r="D6" s="251" t="s">
        <v>39</v>
      </c>
      <c r="E6" s="250" t="s">
        <v>32</v>
      </c>
      <c r="F6" s="250" t="s">
        <v>58</v>
      </c>
      <c r="G6" s="251" t="s">
        <v>30</v>
      </c>
      <c r="H6" s="251" t="s">
        <v>29</v>
      </c>
      <c r="I6" s="250" t="s">
        <v>32</v>
      </c>
      <c r="J6" s="250" t="s">
        <v>40</v>
      </c>
      <c r="K6" s="251" t="s">
        <v>39</v>
      </c>
      <c r="L6" s="250" t="s">
        <v>32</v>
      </c>
      <c r="M6" s="250" t="s">
        <v>58</v>
      </c>
      <c r="N6" s="251" t="s">
        <v>31</v>
      </c>
      <c r="O6" s="251" t="s">
        <v>28</v>
      </c>
      <c r="P6" s="250" t="s">
        <v>32</v>
      </c>
      <c r="Q6" s="76"/>
    </row>
    <row r="7" spans="2:25" ht="92.25" customHeight="1">
      <c r="B7" s="298" t="s">
        <v>64</v>
      </c>
      <c r="C7" s="299">
        <f>115+19</f>
        <v>134</v>
      </c>
      <c r="D7" s="299">
        <v>28</v>
      </c>
      <c r="E7" s="300">
        <f t="shared" ref="E7:E8" si="0">D7/C7</f>
        <v>0.20895522388059701</v>
      </c>
      <c r="F7" s="301">
        <v>21943955</v>
      </c>
      <c r="G7" s="301">
        <v>14532496</v>
      </c>
      <c r="H7" s="301">
        <v>14437220</v>
      </c>
      <c r="I7" s="300">
        <f t="shared" ref="I7:I8" si="1">H7/F7</f>
        <v>0.6579133068765407</v>
      </c>
      <c r="J7" s="299">
        <v>135</v>
      </c>
      <c r="K7" s="299">
        <v>19</v>
      </c>
      <c r="L7" s="300">
        <f t="shared" ref="L7:L14" si="2">K7/J7</f>
        <v>0.14074074074074075</v>
      </c>
      <c r="M7" s="301">
        <f>15241297+3324764</f>
        <v>18566061</v>
      </c>
      <c r="N7" s="301">
        <f>11125240+2098299</f>
        <v>13223539</v>
      </c>
      <c r="O7" s="301">
        <f>1893776+1730462</f>
        <v>3624238</v>
      </c>
      <c r="P7" s="300">
        <f t="shared" ref="P7:P35" si="3">O7/M7</f>
        <v>0.19520769645214459</v>
      </c>
      <c r="Q7" s="76"/>
    </row>
    <row r="8" spans="2:25" ht="92.25" customHeight="1" thickBot="1">
      <c r="B8" s="302" t="s">
        <v>65</v>
      </c>
      <c r="C8" s="303">
        <v>5</v>
      </c>
      <c r="D8" s="303">
        <v>2</v>
      </c>
      <c r="E8" s="304">
        <f t="shared" si="0"/>
        <v>0.4</v>
      </c>
      <c r="F8" s="305">
        <v>163178</v>
      </c>
      <c r="G8" s="305">
        <v>163178</v>
      </c>
      <c r="H8" s="305">
        <v>124305</v>
      </c>
      <c r="I8" s="304">
        <f t="shared" si="1"/>
        <v>0.76177548444030441</v>
      </c>
      <c r="J8" s="303">
        <v>4</v>
      </c>
      <c r="K8" s="303">
        <v>2</v>
      </c>
      <c r="L8" s="304">
        <f t="shared" si="2"/>
        <v>0.5</v>
      </c>
      <c r="M8" s="305">
        <v>491113</v>
      </c>
      <c r="N8" s="305">
        <v>0</v>
      </c>
      <c r="O8" s="305">
        <v>26086</v>
      </c>
      <c r="P8" s="304">
        <f t="shared" si="3"/>
        <v>5.3116085300124412E-2</v>
      </c>
      <c r="Q8" s="76"/>
    </row>
    <row r="9" spans="2:25" ht="92.25" customHeight="1" thickTop="1">
      <c r="B9" s="306" t="s">
        <v>2</v>
      </c>
      <c r="C9" s="303">
        <v>140</v>
      </c>
      <c r="D9" s="303">
        <v>77</v>
      </c>
      <c r="E9" s="304">
        <f>D9/C9</f>
        <v>0.55000000000000004</v>
      </c>
      <c r="F9" s="307">
        <v>4584515</v>
      </c>
      <c r="G9" s="307">
        <v>2400263</v>
      </c>
      <c r="H9" s="307">
        <v>1376370</v>
      </c>
      <c r="I9" s="304">
        <f>H9/F9</f>
        <v>0.30022150652795332</v>
      </c>
      <c r="J9" s="303">
        <v>122</v>
      </c>
      <c r="K9" s="303">
        <v>39</v>
      </c>
      <c r="L9" s="304">
        <f t="shared" si="2"/>
        <v>0.31967213114754101</v>
      </c>
      <c r="M9" s="307">
        <v>2892000</v>
      </c>
      <c r="N9" s="307">
        <v>1011000</v>
      </c>
      <c r="O9" s="305">
        <v>969000</v>
      </c>
      <c r="P9" s="304">
        <f t="shared" si="3"/>
        <v>0.33506224066390039</v>
      </c>
      <c r="Q9" s="128"/>
      <c r="R9" s="62">
        <v>1000000</v>
      </c>
      <c r="T9" s="115">
        <f>8.028+2.454</f>
        <v>10.482000000000001</v>
      </c>
      <c r="U9" s="116">
        <f>5.319+0.757</f>
        <v>6.0759999999999996</v>
      </c>
      <c r="V9" s="117">
        <f>4.382+1.007</f>
        <v>5.3889999999999993</v>
      </c>
      <c r="W9" s="62">
        <f t="shared" ref="W9:W35" si="4">T9*R9</f>
        <v>10482000.000000002</v>
      </c>
      <c r="X9" s="62">
        <f t="shared" ref="X9:X35" si="5">U9*R9</f>
        <v>6076000</v>
      </c>
      <c r="Y9" s="62">
        <f t="shared" ref="Y9:Y35" si="6">V9*R9</f>
        <v>5388999.9999999991</v>
      </c>
    </row>
    <row r="10" spans="2:25" ht="84.95" customHeight="1">
      <c r="B10" s="306" t="s">
        <v>3</v>
      </c>
      <c r="C10" s="303">
        <f>66+17</f>
        <v>83</v>
      </c>
      <c r="D10" s="303">
        <v>28</v>
      </c>
      <c r="E10" s="304">
        <f t="shared" ref="E10:E36" si="7">D10/C10</f>
        <v>0.33734939759036142</v>
      </c>
      <c r="F10" s="307">
        <v>2568000</v>
      </c>
      <c r="G10" s="305">
        <v>1155000</v>
      </c>
      <c r="H10" s="307">
        <v>1076000</v>
      </c>
      <c r="I10" s="304">
        <f>H10/F10</f>
        <v>0.4190031152647975</v>
      </c>
      <c r="J10" s="303">
        <f>96+21</f>
        <v>117</v>
      </c>
      <c r="K10" s="303">
        <v>66</v>
      </c>
      <c r="L10" s="304">
        <f t="shared" si="2"/>
        <v>0.5641025641025641</v>
      </c>
      <c r="M10" s="307">
        <f>4604000+1276000</f>
        <v>5880000</v>
      </c>
      <c r="N10" s="305">
        <f>2494000+714000</f>
        <v>3208000</v>
      </c>
      <c r="O10" s="305">
        <f>1430000+930000</f>
        <v>2360000</v>
      </c>
      <c r="P10" s="304">
        <f t="shared" si="3"/>
        <v>0.40136054421768708</v>
      </c>
      <c r="Q10" s="128"/>
      <c r="R10" s="62">
        <v>1000000</v>
      </c>
      <c r="T10" s="118">
        <f>1.899+0.791+0.814+0.222</f>
        <v>3.726</v>
      </c>
      <c r="U10" s="119">
        <f>1.798+0.123+0.814+0.051</f>
        <v>2.786</v>
      </c>
      <c r="V10" s="120">
        <f>1.691+0.178+0.421+0.124</f>
        <v>2.4140000000000001</v>
      </c>
      <c r="W10" s="62">
        <f t="shared" si="4"/>
        <v>3726000</v>
      </c>
      <c r="X10" s="62">
        <f t="shared" si="5"/>
        <v>2786000</v>
      </c>
      <c r="Y10" s="62">
        <f t="shared" si="6"/>
        <v>2414000</v>
      </c>
    </row>
    <row r="11" spans="2:25" ht="84.95" customHeight="1">
      <c r="B11" s="306" t="s">
        <v>68</v>
      </c>
      <c r="C11" s="303">
        <v>10</v>
      </c>
      <c r="D11" s="303">
        <v>5</v>
      </c>
      <c r="E11" s="304">
        <f t="shared" si="7"/>
        <v>0.5</v>
      </c>
      <c r="F11" s="307">
        <v>572000</v>
      </c>
      <c r="G11" s="307">
        <v>277000</v>
      </c>
      <c r="H11" s="307">
        <v>486000</v>
      </c>
      <c r="I11" s="304">
        <f t="shared" ref="I11:I36" si="8">H11/F11</f>
        <v>0.84965034965034969</v>
      </c>
      <c r="J11" s="303">
        <v>21</v>
      </c>
      <c r="K11" s="303">
        <v>7</v>
      </c>
      <c r="L11" s="304">
        <f t="shared" si="2"/>
        <v>0.33333333333333331</v>
      </c>
      <c r="M11" s="307">
        <v>1078067</v>
      </c>
      <c r="N11" s="307">
        <v>981477</v>
      </c>
      <c r="O11" s="307">
        <v>43919</v>
      </c>
      <c r="P11" s="304">
        <f t="shared" si="3"/>
        <v>4.0738655389692846E-2</v>
      </c>
      <c r="Q11" s="128"/>
      <c r="R11" s="62">
        <v>1000000</v>
      </c>
      <c r="T11" s="121">
        <v>1.43</v>
      </c>
      <c r="U11" s="121">
        <v>1.089</v>
      </c>
      <c r="V11" s="122">
        <v>1.0780000000000001</v>
      </c>
      <c r="W11" s="62">
        <f t="shared" si="4"/>
        <v>1430000</v>
      </c>
      <c r="X11" s="62">
        <f t="shared" si="5"/>
        <v>1089000</v>
      </c>
      <c r="Y11" s="62">
        <f t="shared" si="6"/>
        <v>1078000</v>
      </c>
    </row>
    <row r="12" spans="2:25" ht="84.95" customHeight="1">
      <c r="B12" s="306" t="s">
        <v>4</v>
      </c>
      <c r="C12" s="303">
        <v>119</v>
      </c>
      <c r="D12" s="303">
        <v>61</v>
      </c>
      <c r="E12" s="304">
        <f t="shared" si="7"/>
        <v>0.51260504201680668</v>
      </c>
      <c r="F12" s="307">
        <v>8239653</v>
      </c>
      <c r="G12" s="307">
        <v>2432261</v>
      </c>
      <c r="H12" s="307">
        <v>2811086</v>
      </c>
      <c r="I12" s="304">
        <f t="shared" si="8"/>
        <v>0.34116558063792252</v>
      </c>
      <c r="J12" s="303">
        <v>93</v>
      </c>
      <c r="K12" s="303">
        <v>52</v>
      </c>
      <c r="L12" s="304">
        <f t="shared" si="2"/>
        <v>0.55913978494623651</v>
      </c>
      <c r="M12" s="307">
        <v>4853988</v>
      </c>
      <c r="N12" s="307">
        <v>1217252</v>
      </c>
      <c r="O12" s="307">
        <v>1485662</v>
      </c>
      <c r="P12" s="304">
        <f t="shared" si="3"/>
        <v>0.30607038995564062</v>
      </c>
      <c r="Q12" s="128"/>
      <c r="R12" s="62">
        <v>1000000</v>
      </c>
      <c r="T12" s="121">
        <f>2.438+7.953+3.682</f>
        <v>14.073</v>
      </c>
      <c r="U12" s="121">
        <f>2.286+0.929+2.56</f>
        <v>5.7750000000000004</v>
      </c>
      <c r="V12" s="122">
        <f>2.167+1.368+3.408</f>
        <v>6.9429999999999996</v>
      </c>
      <c r="W12" s="62">
        <f t="shared" si="4"/>
        <v>14073000</v>
      </c>
      <c r="X12" s="62">
        <f t="shared" si="5"/>
        <v>5775000</v>
      </c>
      <c r="Y12" s="62">
        <f t="shared" si="6"/>
        <v>6943000</v>
      </c>
    </row>
    <row r="13" spans="2:25" ht="84.95" customHeight="1">
      <c r="B13" s="306" t="s">
        <v>5</v>
      </c>
      <c r="C13" s="303">
        <v>129</v>
      </c>
      <c r="D13" s="303">
        <v>76</v>
      </c>
      <c r="E13" s="304">
        <f t="shared" si="7"/>
        <v>0.58914728682170547</v>
      </c>
      <c r="F13" s="307">
        <v>4947000</v>
      </c>
      <c r="G13" s="307">
        <v>1370000</v>
      </c>
      <c r="H13" s="307">
        <v>2033000</v>
      </c>
      <c r="I13" s="304">
        <f t="shared" si="8"/>
        <v>0.4109561350313321</v>
      </c>
      <c r="J13" s="303">
        <v>132</v>
      </c>
      <c r="K13" s="303">
        <v>49</v>
      </c>
      <c r="L13" s="304">
        <f t="shared" si="2"/>
        <v>0.37121212121212122</v>
      </c>
      <c r="M13" s="307">
        <f>4950996+264867</f>
        <v>5215863</v>
      </c>
      <c r="N13" s="307">
        <f>1727177+194577</f>
        <v>1921754</v>
      </c>
      <c r="O13" s="307">
        <f>1456167+185808</f>
        <v>1641975</v>
      </c>
      <c r="P13" s="304">
        <f t="shared" si="3"/>
        <v>0.31480408898776674</v>
      </c>
      <c r="Q13" s="128"/>
      <c r="R13" s="62">
        <v>1000000</v>
      </c>
      <c r="T13" s="118">
        <f>8.045+0.108</f>
        <v>8.1530000000000005</v>
      </c>
      <c r="U13" s="118">
        <f>5.45+0</f>
        <v>5.45</v>
      </c>
      <c r="V13" s="123">
        <f>5.428+0.008</f>
        <v>5.4359999999999999</v>
      </c>
      <c r="W13" s="62">
        <f t="shared" si="4"/>
        <v>8153000.0000000009</v>
      </c>
      <c r="X13" s="62">
        <f t="shared" si="5"/>
        <v>5450000</v>
      </c>
      <c r="Y13" s="62">
        <f t="shared" si="6"/>
        <v>5436000</v>
      </c>
    </row>
    <row r="14" spans="2:25" ht="84.95" customHeight="1">
      <c r="B14" s="306" t="s">
        <v>6</v>
      </c>
      <c r="C14" s="303">
        <f>4+33+1</f>
        <v>38</v>
      </c>
      <c r="D14" s="303">
        <v>15</v>
      </c>
      <c r="E14" s="304">
        <f t="shared" si="7"/>
        <v>0.39473684210526316</v>
      </c>
      <c r="F14" s="307">
        <v>762500</v>
      </c>
      <c r="G14" s="307">
        <v>217000</v>
      </c>
      <c r="H14" s="307">
        <v>448500</v>
      </c>
      <c r="I14" s="304">
        <f t="shared" si="8"/>
        <v>0.58819672131147538</v>
      </c>
      <c r="J14" s="303">
        <v>37</v>
      </c>
      <c r="K14" s="303">
        <v>18</v>
      </c>
      <c r="L14" s="304">
        <f t="shared" si="2"/>
        <v>0.48648648648648651</v>
      </c>
      <c r="M14" s="307">
        <f>182000+268000</f>
        <v>450000</v>
      </c>
      <c r="N14" s="307">
        <f>107000+34000</f>
        <v>141000</v>
      </c>
      <c r="O14" s="307">
        <f>107000+106000</f>
        <v>213000</v>
      </c>
      <c r="P14" s="304">
        <f t="shared" si="3"/>
        <v>0.47333333333333333</v>
      </c>
      <c r="Q14" s="128"/>
      <c r="R14" s="62">
        <v>1000000</v>
      </c>
      <c r="T14" s="121">
        <f>0.444+2.81</f>
        <v>3.254</v>
      </c>
      <c r="U14" s="121">
        <f>0.115+0.965</f>
        <v>1.08</v>
      </c>
      <c r="V14" s="122">
        <f>0.104+1.799</f>
        <v>1.903</v>
      </c>
      <c r="W14" s="62">
        <f t="shared" si="4"/>
        <v>3254000</v>
      </c>
      <c r="X14" s="62">
        <f t="shared" si="5"/>
        <v>1080000</v>
      </c>
      <c r="Y14" s="62">
        <f t="shared" si="6"/>
        <v>1903000</v>
      </c>
    </row>
    <row r="15" spans="2:25" ht="84.95" customHeight="1">
      <c r="B15" s="306" t="s">
        <v>7</v>
      </c>
      <c r="C15" s="303">
        <f>99+135+11+15</f>
        <v>260</v>
      </c>
      <c r="D15" s="303">
        <f>47+58+8+4</f>
        <v>117</v>
      </c>
      <c r="E15" s="304">
        <f t="shared" si="7"/>
        <v>0.45</v>
      </c>
      <c r="F15" s="307">
        <v>11589450.166000001</v>
      </c>
      <c r="G15" s="307">
        <v>7049928.0270000007</v>
      </c>
      <c r="H15" s="307">
        <v>6557620.7009999994</v>
      </c>
      <c r="I15" s="304">
        <f t="shared" si="8"/>
        <v>0.56582673095554681</v>
      </c>
      <c r="J15" s="303">
        <f>75+101+7+18</f>
        <v>201</v>
      </c>
      <c r="K15" s="303">
        <f>38+59+3+1</f>
        <v>101</v>
      </c>
      <c r="L15" s="304">
        <f t="shared" ref="L15:L36" si="9">K15/J15</f>
        <v>0.50248756218905477</v>
      </c>
      <c r="M15" s="307">
        <f>6312452.658+3510328.733+136397.049+175172.782</f>
        <v>10134351.221999999</v>
      </c>
      <c r="N15" s="307">
        <f>4687646.332+717889.229+111329.814</f>
        <v>5516865.3750000009</v>
      </c>
      <c r="O15" s="307">
        <f>4574352.229+1962323.135+29610.707+175172.782</f>
        <v>6741458.8530000001</v>
      </c>
      <c r="P15" s="304">
        <f t="shared" si="3"/>
        <v>0.66520872479388804</v>
      </c>
      <c r="Q15" s="128"/>
      <c r="R15" s="62">
        <v>1000000</v>
      </c>
      <c r="T15" s="121">
        <f>7.035+2.164+0.08+0.305</f>
        <v>9.5839999999999996</v>
      </c>
      <c r="U15" s="121">
        <f>5.348+0.417+0.04+0.055</f>
        <v>5.8599999999999994</v>
      </c>
      <c r="V15" s="122">
        <f>5.197+0.689+0.003+0.235</f>
        <v>6.1240000000000006</v>
      </c>
      <c r="W15" s="62">
        <f t="shared" si="4"/>
        <v>9584000</v>
      </c>
      <c r="X15" s="62">
        <f t="shared" si="5"/>
        <v>5859999.9999999991</v>
      </c>
      <c r="Y15" s="62">
        <f t="shared" si="6"/>
        <v>6124000.0000000009</v>
      </c>
    </row>
    <row r="16" spans="2:25" ht="84.95" customHeight="1">
      <c r="B16" s="306" t="s">
        <v>71</v>
      </c>
      <c r="C16" s="303">
        <v>31</v>
      </c>
      <c r="D16" s="303">
        <v>19</v>
      </c>
      <c r="E16" s="304">
        <f t="shared" si="7"/>
        <v>0.61290322580645162</v>
      </c>
      <c r="F16" s="307">
        <v>787280</v>
      </c>
      <c r="G16" s="307">
        <v>666755</v>
      </c>
      <c r="H16" s="307">
        <v>605232</v>
      </c>
      <c r="I16" s="304">
        <f t="shared" si="8"/>
        <v>0.76876333705924194</v>
      </c>
      <c r="J16" s="303">
        <v>23</v>
      </c>
      <c r="K16" s="303">
        <v>8</v>
      </c>
      <c r="L16" s="304">
        <f t="shared" si="9"/>
        <v>0.34782608695652173</v>
      </c>
      <c r="M16" s="307">
        <v>2179233</v>
      </c>
      <c r="N16" s="307">
        <v>2158334</v>
      </c>
      <c r="O16" s="307">
        <v>1725472</v>
      </c>
      <c r="P16" s="304">
        <f t="shared" si="3"/>
        <v>0.79177949306017303</v>
      </c>
      <c r="Q16" s="128"/>
      <c r="R16" s="62">
        <v>1000000</v>
      </c>
      <c r="T16" s="121">
        <f>0.509+2.157+0.227+0.93</f>
        <v>3.823</v>
      </c>
      <c r="U16" s="121">
        <f>0.506+0.246+0.227+0.294</f>
        <v>1.2729999999999999</v>
      </c>
      <c r="V16" s="122">
        <f>0.491+0.956+0.219+0.331</f>
        <v>1.9970000000000001</v>
      </c>
      <c r="W16" s="62">
        <f t="shared" si="4"/>
        <v>3823000</v>
      </c>
      <c r="X16" s="62">
        <f t="shared" si="5"/>
        <v>1273000</v>
      </c>
      <c r="Y16" s="62">
        <f t="shared" si="6"/>
        <v>1997000</v>
      </c>
    </row>
    <row r="17" spans="2:25" ht="84.95" customHeight="1">
      <c r="B17" s="306" t="s">
        <v>72</v>
      </c>
      <c r="C17" s="303">
        <v>0</v>
      </c>
      <c r="D17" s="303">
        <v>0</v>
      </c>
      <c r="E17" s="304"/>
      <c r="F17" s="307">
        <v>0</v>
      </c>
      <c r="G17" s="307">
        <v>0</v>
      </c>
      <c r="H17" s="307">
        <v>0</v>
      </c>
      <c r="I17" s="304"/>
      <c r="J17" s="303">
        <v>0</v>
      </c>
      <c r="K17" s="303">
        <v>0</v>
      </c>
      <c r="L17" s="304"/>
      <c r="M17" s="307">
        <v>0</v>
      </c>
      <c r="N17" s="307">
        <v>0</v>
      </c>
      <c r="O17" s="307">
        <v>0</v>
      </c>
      <c r="P17" s="304"/>
      <c r="Q17" s="128"/>
      <c r="R17" s="62">
        <v>1000000</v>
      </c>
      <c r="T17" s="121"/>
      <c r="U17" s="121"/>
      <c r="V17" s="122"/>
      <c r="W17" s="62">
        <f t="shared" si="4"/>
        <v>0</v>
      </c>
      <c r="X17" s="62">
        <f t="shared" si="5"/>
        <v>0</v>
      </c>
      <c r="Y17" s="62">
        <f t="shared" si="6"/>
        <v>0</v>
      </c>
    </row>
    <row r="18" spans="2:25" ht="84.95" customHeight="1">
      <c r="B18" s="306" t="s">
        <v>8</v>
      </c>
      <c r="C18" s="303">
        <f>149+6</f>
        <v>155</v>
      </c>
      <c r="D18" s="303">
        <f>94+3</f>
        <v>97</v>
      </c>
      <c r="E18" s="304">
        <f t="shared" si="7"/>
        <v>0.62580645161290327</v>
      </c>
      <c r="F18" s="307">
        <v>5285000</v>
      </c>
      <c r="G18" s="307">
        <v>2263000</v>
      </c>
      <c r="H18" s="307">
        <v>2630000</v>
      </c>
      <c r="I18" s="304">
        <f t="shared" si="8"/>
        <v>0.49763481551561023</v>
      </c>
      <c r="J18" s="303">
        <v>103</v>
      </c>
      <c r="K18" s="303">
        <v>56</v>
      </c>
      <c r="L18" s="304">
        <f t="shared" si="9"/>
        <v>0.5436893203883495</v>
      </c>
      <c r="M18" s="307">
        <f>3354308+8678</f>
        <v>3362986</v>
      </c>
      <c r="N18" s="307">
        <f>2180365+5368</f>
        <v>2185733</v>
      </c>
      <c r="O18" s="307">
        <f>1393056+5368</f>
        <v>1398424</v>
      </c>
      <c r="P18" s="304">
        <f t="shared" si="3"/>
        <v>0.4158280765962154</v>
      </c>
      <c r="Q18" s="128"/>
      <c r="R18" s="62">
        <v>1000000</v>
      </c>
      <c r="T18" s="121">
        <f>0.682+2.262+0.582+0.144</f>
        <v>3.67</v>
      </c>
      <c r="U18" s="121">
        <f>0.581+0.309+0.107+0.136</f>
        <v>1.133</v>
      </c>
      <c r="V18" s="122">
        <f>0.555+1.126+0.507+0.108</f>
        <v>2.2960000000000003</v>
      </c>
      <c r="W18" s="62">
        <f t="shared" si="4"/>
        <v>3670000</v>
      </c>
      <c r="X18" s="62">
        <f t="shared" si="5"/>
        <v>1133000</v>
      </c>
      <c r="Y18" s="62">
        <f t="shared" si="6"/>
        <v>2296000.0000000005</v>
      </c>
    </row>
    <row r="19" spans="2:25" ht="84.95" customHeight="1">
      <c r="B19" s="306" t="s">
        <v>9</v>
      </c>
      <c r="C19" s="303">
        <v>90</v>
      </c>
      <c r="D19" s="303">
        <v>56</v>
      </c>
      <c r="E19" s="304">
        <f t="shared" si="7"/>
        <v>0.62222222222222223</v>
      </c>
      <c r="F19" s="307">
        <v>4757944</v>
      </c>
      <c r="G19" s="307">
        <v>3565042</v>
      </c>
      <c r="H19" s="307">
        <v>3585975</v>
      </c>
      <c r="I19" s="304">
        <f t="shared" si="8"/>
        <v>0.7536816322344273</v>
      </c>
      <c r="J19" s="303">
        <v>49</v>
      </c>
      <c r="K19" s="303">
        <v>35</v>
      </c>
      <c r="L19" s="304">
        <f t="shared" si="9"/>
        <v>0.7142857142857143</v>
      </c>
      <c r="M19" s="307">
        <f>3574188.782+2252600</f>
        <v>5826788.7819999997</v>
      </c>
      <c r="N19" s="307">
        <f>2373862.371+2252600</f>
        <v>4626462.3709999993</v>
      </c>
      <c r="O19" s="307">
        <f>2241351.195+2252600</f>
        <v>4493951.1950000003</v>
      </c>
      <c r="P19" s="304">
        <f t="shared" si="3"/>
        <v>0.77125692437704718</v>
      </c>
      <c r="Q19" s="128"/>
      <c r="R19" s="62">
        <v>1000000</v>
      </c>
      <c r="T19" s="121">
        <f>2.108+0.771+0.482+0.527</f>
        <v>3.8879999999999999</v>
      </c>
      <c r="U19" s="121">
        <f>1.957+0.351+0.482</f>
        <v>2.79</v>
      </c>
      <c r="V19" s="122">
        <f>1.154+0.059+0.001</f>
        <v>1.2139999999999997</v>
      </c>
      <c r="W19" s="62">
        <f t="shared" si="4"/>
        <v>3888000</v>
      </c>
      <c r="X19" s="62">
        <f t="shared" si="5"/>
        <v>2790000</v>
      </c>
      <c r="Y19" s="62">
        <f t="shared" si="6"/>
        <v>1213999.9999999998</v>
      </c>
    </row>
    <row r="20" spans="2:25" ht="84.95" customHeight="1">
      <c r="B20" s="306" t="s">
        <v>10</v>
      </c>
      <c r="C20" s="303">
        <f>94+12</f>
        <v>106</v>
      </c>
      <c r="D20" s="303">
        <v>71</v>
      </c>
      <c r="E20" s="304">
        <f t="shared" si="7"/>
        <v>0.66981132075471694</v>
      </c>
      <c r="F20" s="307">
        <v>4568636</v>
      </c>
      <c r="G20" s="307">
        <v>1690176</v>
      </c>
      <c r="H20" s="307">
        <v>1638551</v>
      </c>
      <c r="I20" s="304">
        <f t="shared" si="8"/>
        <v>0.35865212286555548</v>
      </c>
      <c r="J20" s="303">
        <v>70</v>
      </c>
      <c r="K20" s="303">
        <v>18</v>
      </c>
      <c r="L20" s="304">
        <f t="shared" si="9"/>
        <v>0.25714285714285712</v>
      </c>
      <c r="M20" s="307">
        <v>728289</v>
      </c>
      <c r="N20" s="307">
        <v>256702</v>
      </c>
      <c r="O20" s="307">
        <v>276156</v>
      </c>
      <c r="P20" s="304">
        <f t="shared" si="3"/>
        <v>0.37918463686805648</v>
      </c>
      <c r="Q20" s="128"/>
      <c r="R20" s="62">
        <v>1000000</v>
      </c>
      <c r="T20" s="121">
        <f>1.882+1.049</f>
        <v>2.931</v>
      </c>
      <c r="U20" s="121">
        <f>0.4866+0.414</f>
        <v>0.90059999999999996</v>
      </c>
      <c r="V20" s="122">
        <f>0.4317+0.403</f>
        <v>0.8347</v>
      </c>
      <c r="W20" s="62">
        <f t="shared" si="4"/>
        <v>2931000</v>
      </c>
      <c r="X20" s="62">
        <f t="shared" si="5"/>
        <v>900600</v>
      </c>
      <c r="Y20" s="62">
        <f t="shared" si="6"/>
        <v>834700</v>
      </c>
    </row>
    <row r="21" spans="2:25" ht="84.95" customHeight="1">
      <c r="B21" s="306" t="s">
        <v>11</v>
      </c>
      <c r="C21" s="303">
        <f>16+10+6</f>
        <v>32</v>
      </c>
      <c r="D21" s="303">
        <v>11</v>
      </c>
      <c r="E21" s="304">
        <f t="shared" si="7"/>
        <v>0.34375</v>
      </c>
      <c r="F21" s="305">
        <v>1377078</v>
      </c>
      <c r="G21" s="305">
        <v>435078</v>
      </c>
      <c r="H21" s="305">
        <v>514078</v>
      </c>
      <c r="I21" s="304">
        <f t="shared" si="8"/>
        <v>0.37331073475867016</v>
      </c>
      <c r="J21" s="303">
        <v>29</v>
      </c>
      <c r="K21" s="303">
        <v>11</v>
      </c>
      <c r="L21" s="304">
        <f t="shared" si="9"/>
        <v>0.37931034482758619</v>
      </c>
      <c r="M21" s="307">
        <f>1426410+17341+146776</f>
        <v>1590527</v>
      </c>
      <c r="N21" s="307">
        <f>1330352+65573</f>
        <v>1395925</v>
      </c>
      <c r="O21" s="307">
        <f>1147463+1929+65573</f>
        <v>1214965</v>
      </c>
      <c r="P21" s="304">
        <f t="shared" si="3"/>
        <v>0.76387574684365622</v>
      </c>
      <c r="Q21" s="128"/>
      <c r="R21" s="62">
        <v>1000000</v>
      </c>
      <c r="T21" s="124">
        <f>0.893+0.017+0.081+0.093</f>
        <v>1.0840000000000001</v>
      </c>
      <c r="U21" s="124">
        <f>0.893+0.081+0.001</f>
        <v>0.97499999999999998</v>
      </c>
      <c r="V21" s="125">
        <f>0.879+0.081+0.093</f>
        <v>1.0529999999999999</v>
      </c>
      <c r="W21" s="62">
        <f t="shared" si="4"/>
        <v>1084000</v>
      </c>
      <c r="X21" s="62">
        <f t="shared" si="5"/>
        <v>975000</v>
      </c>
      <c r="Y21" s="62">
        <f t="shared" si="6"/>
        <v>1053000</v>
      </c>
    </row>
    <row r="22" spans="2:25" ht="84.95" customHeight="1">
      <c r="B22" s="306" t="s">
        <v>12</v>
      </c>
      <c r="C22" s="303">
        <v>26</v>
      </c>
      <c r="D22" s="303">
        <v>20</v>
      </c>
      <c r="E22" s="304">
        <f t="shared" si="7"/>
        <v>0.76923076923076927</v>
      </c>
      <c r="F22" s="305">
        <v>707044</v>
      </c>
      <c r="G22" s="305">
        <v>407449</v>
      </c>
      <c r="H22" s="305">
        <v>408647</v>
      </c>
      <c r="I22" s="304">
        <f t="shared" si="8"/>
        <v>0.5779654448662318</v>
      </c>
      <c r="J22" s="303">
        <v>22</v>
      </c>
      <c r="K22" s="303">
        <v>15</v>
      </c>
      <c r="L22" s="304">
        <f t="shared" si="9"/>
        <v>0.68181818181818177</v>
      </c>
      <c r="M22" s="307">
        <f>195333+158807</f>
        <v>354140</v>
      </c>
      <c r="N22" s="307">
        <f>144314+2106</f>
        <v>146420</v>
      </c>
      <c r="O22" s="307">
        <f>179919+9186</f>
        <v>189105</v>
      </c>
      <c r="P22" s="304">
        <f t="shared" si="3"/>
        <v>0.53398373524594789</v>
      </c>
      <c r="Q22" s="128"/>
      <c r="R22" s="62">
        <v>1000000</v>
      </c>
      <c r="T22" s="118">
        <f>0.243+0.204+0.361</f>
        <v>0.80799999999999994</v>
      </c>
      <c r="U22" s="118">
        <f>0.239+0.092+0.143</f>
        <v>0.47399999999999998</v>
      </c>
      <c r="V22" s="123">
        <f>0.048+0.085+0.014</f>
        <v>0.14700000000000002</v>
      </c>
      <c r="W22" s="62">
        <f t="shared" si="4"/>
        <v>807999.99999999988</v>
      </c>
      <c r="X22" s="62">
        <f t="shared" si="5"/>
        <v>474000</v>
      </c>
      <c r="Y22" s="62">
        <f t="shared" si="6"/>
        <v>147000.00000000003</v>
      </c>
    </row>
    <row r="23" spans="2:25" ht="84.95" customHeight="1">
      <c r="B23" s="306" t="s">
        <v>13</v>
      </c>
      <c r="C23" s="303">
        <v>16</v>
      </c>
      <c r="D23" s="303">
        <v>6</v>
      </c>
      <c r="E23" s="304">
        <f t="shared" si="7"/>
        <v>0.375</v>
      </c>
      <c r="F23" s="307">
        <v>306682</v>
      </c>
      <c r="G23" s="307">
        <v>240917</v>
      </c>
      <c r="H23" s="307">
        <v>149993</v>
      </c>
      <c r="I23" s="304">
        <f t="shared" si="8"/>
        <v>0.48908315453792528</v>
      </c>
      <c r="J23" s="303">
        <v>19</v>
      </c>
      <c r="K23" s="303">
        <v>11</v>
      </c>
      <c r="L23" s="304">
        <f t="shared" si="9"/>
        <v>0.57894736842105265</v>
      </c>
      <c r="M23" s="307">
        <f>213800+390965</f>
        <v>604765</v>
      </c>
      <c r="N23" s="307">
        <f>151635+4685</f>
        <v>156320</v>
      </c>
      <c r="O23" s="307">
        <f>124728+97794</f>
        <v>222522</v>
      </c>
      <c r="P23" s="304">
        <f t="shared" si="3"/>
        <v>0.36794788058171357</v>
      </c>
      <c r="Q23" s="128"/>
      <c r="R23" s="62">
        <v>1000000</v>
      </c>
      <c r="T23" s="121">
        <f>0.643+0.394</f>
        <v>1.0369999999999999</v>
      </c>
      <c r="U23" s="121">
        <v>0.64300000000000002</v>
      </c>
      <c r="V23" s="122">
        <f>0.377+0.304</f>
        <v>0.68100000000000005</v>
      </c>
      <c r="W23" s="62">
        <f t="shared" si="4"/>
        <v>1036999.9999999999</v>
      </c>
      <c r="X23" s="62">
        <f t="shared" si="5"/>
        <v>643000</v>
      </c>
      <c r="Y23" s="62">
        <f t="shared" si="6"/>
        <v>681000</v>
      </c>
    </row>
    <row r="24" spans="2:25" ht="84.95" customHeight="1">
      <c r="B24" s="306" t="s">
        <v>14</v>
      </c>
      <c r="C24" s="303">
        <v>38</v>
      </c>
      <c r="D24" s="303">
        <v>21</v>
      </c>
      <c r="E24" s="304">
        <f t="shared" si="7"/>
        <v>0.55263157894736847</v>
      </c>
      <c r="F24" s="307">
        <v>1496828</v>
      </c>
      <c r="G24" s="305">
        <v>1154517</v>
      </c>
      <c r="H24" s="307">
        <v>1223886</v>
      </c>
      <c r="I24" s="304">
        <f t="shared" si="8"/>
        <v>0.81765306367865909</v>
      </c>
      <c r="J24" s="303">
        <v>39</v>
      </c>
      <c r="K24" s="303">
        <v>9</v>
      </c>
      <c r="L24" s="304">
        <f t="shared" si="9"/>
        <v>0.23076923076923078</v>
      </c>
      <c r="M24" s="307">
        <f>365890+9316</f>
        <v>375206</v>
      </c>
      <c r="N24" s="305">
        <f>365890+0</f>
        <v>365890</v>
      </c>
      <c r="O24" s="305">
        <f>236507+1722</f>
        <v>238229</v>
      </c>
      <c r="P24" s="304">
        <f t="shared" si="3"/>
        <v>0.63492854591877523</v>
      </c>
      <c r="Q24" s="128"/>
      <c r="R24" s="62">
        <v>1000000</v>
      </c>
      <c r="T24" s="121">
        <f>2.401+0.009</f>
        <v>2.4099999999999997</v>
      </c>
      <c r="U24" s="126">
        <f>2.136+0.009</f>
        <v>2.145</v>
      </c>
      <c r="V24" s="127">
        <f>2.053+0</f>
        <v>2.0529999999999999</v>
      </c>
      <c r="W24" s="62">
        <f t="shared" si="4"/>
        <v>2409999.9999999995</v>
      </c>
      <c r="X24" s="62">
        <f t="shared" si="5"/>
        <v>2145000</v>
      </c>
      <c r="Y24" s="62">
        <f t="shared" si="6"/>
        <v>2053000</v>
      </c>
    </row>
    <row r="25" spans="2:25" ht="84.95" customHeight="1">
      <c r="B25" s="306" t="s">
        <v>15</v>
      </c>
      <c r="C25" s="303">
        <v>49</v>
      </c>
      <c r="D25" s="303">
        <v>22</v>
      </c>
      <c r="E25" s="304">
        <f t="shared" si="7"/>
        <v>0.44897959183673469</v>
      </c>
      <c r="F25" s="307">
        <v>390731</v>
      </c>
      <c r="G25" s="307">
        <v>159230</v>
      </c>
      <c r="H25" s="307">
        <v>135147</v>
      </c>
      <c r="I25" s="304">
        <f t="shared" si="8"/>
        <v>0.34588246133529205</v>
      </c>
      <c r="J25" s="303">
        <v>35</v>
      </c>
      <c r="K25" s="303">
        <v>5</v>
      </c>
      <c r="L25" s="304">
        <f t="shared" si="9"/>
        <v>0.14285714285714285</v>
      </c>
      <c r="M25" s="307">
        <v>152035</v>
      </c>
      <c r="N25" s="305">
        <v>55491</v>
      </c>
      <c r="O25" s="305">
        <v>75662</v>
      </c>
      <c r="P25" s="304">
        <f t="shared" si="3"/>
        <v>0.49766172262965763</v>
      </c>
      <c r="Q25" s="128"/>
      <c r="R25" s="62">
        <v>1000000</v>
      </c>
      <c r="T25" s="121">
        <f>1.645+0.014</f>
        <v>1.659</v>
      </c>
      <c r="U25" s="126">
        <f>0.684+0.014</f>
        <v>0.69800000000000006</v>
      </c>
      <c r="V25" s="127">
        <f>1.019+0</f>
        <v>1.0189999999999999</v>
      </c>
      <c r="W25" s="62">
        <f t="shared" si="4"/>
        <v>1659000</v>
      </c>
      <c r="X25" s="62">
        <f t="shared" si="5"/>
        <v>698000.00000000012</v>
      </c>
      <c r="Y25" s="62">
        <f t="shared" si="6"/>
        <v>1018999.9999999999</v>
      </c>
    </row>
    <row r="26" spans="2:25" ht="84.95" customHeight="1">
      <c r="B26" s="306" t="s">
        <v>16</v>
      </c>
      <c r="C26" s="303">
        <v>11</v>
      </c>
      <c r="D26" s="303">
        <v>3</v>
      </c>
      <c r="E26" s="304">
        <f t="shared" si="7"/>
        <v>0.27272727272727271</v>
      </c>
      <c r="F26" s="307">
        <v>252284</v>
      </c>
      <c r="G26" s="307">
        <v>161466</v>
      </c>
      <c r="H26" s="307">
        <v>252284</v>
      </c>
      <c r="I26" s="304"/>
      <c r="J26" s="303">
        <v>10</v>
      </c>
      <c r="K26" s="303">
        <v>4</v>
      </c>
      <c r="L26" s="304">
        <f t="shared" si="9"/>
        <v>0.4</v>
      </c>
      <c r="M26" s="307">
        <f>131722+26008</f>
        <v>157730</v>
      </c>
      <c r="N26" s="305">
        <v>61268</v>
      </c>
      <c r="O26" s="305">
        <f>131722+9937</f>
        <v>141659</v>
      </c>
      <c r="P26" s="304">
        <f t="shared" si="3"/>
        <v>0.89811069549229694</v>
      </c>
      <c r="Q26" s="128"/>
      <c r="R26" s="62">
        <v>1000000</v>
      </c>
      <c r="T26" s="121">
        <f>0.044+0.211+0.028+0.065</f>
        <v>0.34800000000000003</v>
      </c>
      <c r="U26" s="126">
        <f>0.044+0.077+0.021</f>
        <v>0.14199999999999999</v>
      </c>
      <c r="V26" s="127">
        <f>0.044+0.211+0.004</f>
        <v>0.25900000000000001</v>
      </c>
      <c r="W26" s="62">
        <f t="shared" si="4"/>
        <v>348000.00000000006</v>
      </c>
      <c r="X26" s="62">
        <f t="shared" si="5"/>
        <v>142000</v>
      </c>
      <c r="Y26" s="62">
        <f t="shared" si="6"/>
        <v>259000</v>
      </c>
    </row>
    <row r="27" spans="2:25" ht="84.95" customHeight="1">
      <c r="B27" s="306" t="s">
        <v>17</v>
      </c>
      <c r="C27" s="303">
        <v>84</v>
      </c>
      <c r="D27" s="303">
        <v>41</v>
      </c>
      <c r="E27" s="304">
        <f t="shared" si="7"/>
        <v>0.48809523809523808</v>
      </c>
      <c r="F27" s="307">
        <v>1123105</v>
      </c>
      <c r="G27" s="307">
        <v>698104</v>
      </c>
      <c r="H27" s="307">
        <v>722953</v>
      </c>
      <c r="I27" s="304">
        <f t="shared" si="8"/>
        <v>0.64370918124307164</v>
      </c>
      <c r="J27" s="303">
        <v>60</v>
      </c>
      <c r="K27" s="303">
        <v>24</v>
      </c>
      <c r="L27" s="304">
        <f t="shared" si="9"/>
        <v>0.4</v>
      </c>
      <c r="M27" s="307">
        <f>2946665+117406</f>
        <v>3064071</v>
      </c>
      <c r="N27" s="305">
        <f>2324759+1524</f>
        <v>2326283</v>
      </c>
      <c r="O27" s="305">
        <f>1388737+2144</f>
        <v>1390881</v>
      </c>
      <c r="P27" s="304">
        <f t="shared" si="3"/>
        <v>0.45393236644973306</v>
      </c>
      <c r="Q27" s="128"/>
      <c r="R27" s="62">
        <v>1000000</v>
      </c>
      <c r="T27" s="118">
        <f>3.278+0.407</f>
        <v>3.6850000000000001</v>
      </c>
      <c r="U27" s="119">
        <f>2.885+0.052</f>
        <v>2.9369999999999998</v>
      </c>
      <c r="V27" s="120">
        <f>2.869+0.298</f>
        <v>3.1670000000000003</v>
      </c>
      <c r="W27" s="62">
        <f t="shared" si="4"/>
        <v>3685000</v>
      </c>
      <c r="X27" s="62">
        <f t="shared" si="5"/>
        <v>2937000</v>
      </c>
      <c r="Y27" s="62">
        <f t="shared" si="6"/>
        <v>3167000.0000000005</v>
      </c>
    </row>
    <row r="28" spans="2:25" ht="84.95" customHeight="1">
      <c r="B28" s="306" t="s">
        <v>18</v>
      </c>
      <c r="C28" s="303">
        <v>2</v>
      </c>
      <c r="D28" s="303">
        <v>2</v>
      </c>
      <c r="E28" s="304">
        <f t="shared" si="7"/>
        <v>1</v>
      </c>
      <c r="F28" s="307">
        <v>103289</v>
      </c>
      <c r="G28" s="307">
        <v>103289</v>
      </c>
      <c r="H28" s="307">
        <v>8249</v>
      </c>
      <c r="I28" s="304"/>
      <c r="J28" s="303">
        <v>3</v>
      </c>
      <c r="K28" s="303">
        <v>0</v>
      </c>
      <c r="L28" s="304">
        <f t="shared" si="9"/>
        <v>0</v>
      </c>
      <c r="M28" s="307">
        <v>0</v>
      </c>
      <c r="N28" s="305">
        <v>0</v>
      </c>
      <c r="O28" s="305">
        <v>0</v>
      </c>
      <c r="P28" s="304"/>
      <c r="Q28" s="128"/>
      <c r="R28" s="62">
        <v>1000000</v>
      </c>
      <c r="T28" s="118">
        <v>0.12</v>
      </c>
      <c r="U28" s="119">
        <v>0.12</v>
      </c>
      <c r="V28" s="120">
        <v>0.111</v>
      </c>
      <c r="W28" s="62">
        <f t="shared" si="4"/>
        <v>120000</v>
      </c>
      <c r="X28" s="62">
        <f t="shared" si="5"/>
        <v>120000</v>
      </c>
      <c r="Y28" s="62">
        <f t="shared" si="6"/>
        <v>111000</v>
      </c>
    </row>
    <row r="29" spans="2:25" ht="84.95" customHeight="1">
      <c r="B29" s="306" t="s">
        <v>19</v>
      </c>
      <c r="C29" s="303">
        <v>11</v>
      </c>
      <c r="D29" s="303">
        <v>0</v>
      </c>
      <c r="E29" s="304">
        <f t="shared" si="7"/>
        <v>0</v>
      </c>
      <c r="F29" s="307">
        <v>0</v>
      </c>
      <c r="G29" s="307">
        <v>0</v>
      </c>
      <c r="H29" s="307">
        <v>0</v>
      </c>
      <c r="I29" s="304"/>
      <c r="J29" s="303">
        <v>11</v>
      </c>
      <c r="K29" s="303">
        <v>3</v>
      </c>
      <c r="L29" s="304">
        <f t="shared" si="9"/>
        <v>0.27272727272727271</v>
      </c>
      <c r="M29" s="307">
        <f>20546+146000</f>
        <v>166546</v>
      </c>
      <c r="N29" s="305">
        <v>146000</v>
      </c>
      <c r="O29" s="305">
        <v>146000</v>
      </c>
      <c r="P29" s="304">
        <f t="shared" si="3"/>
        <v>0.87663468351086182</v>
      </c>
      <c r="Q29" s="128"/>
      <c r="R29" s="62">
        <v>1000000</v>
      </c>
      <c r="T29" s="121">
        <v>0</v>
      </c>
      <c r="U29" s="126">
        <v>0</v>
      </c>
      <c r="V29" s="127">
        <v>0</v>
      </c>
      <c r="W29" s="62">
        <f t="shared" si="4"/>
        <v>0</v>
      </c>
      <c r="X29" s="62">
        <f t="shared" si="5"/>
        <v>0</v>
      </c>
      <c r="Y29" s="62">
        <f t="shared" si="6"/>
        <v>0</v>
      </c>
    </row>
    <row r="30" spans="2:25" ht="84.95" customHeight="1">
      <c r="B30" s="306" t="s">
        <v>20</v>
      </c>
      <c r="C30" s="303">
        <v>14</v>
      </c>
      <c r="D30" s="303">
        <v>7</v>
      </c>
      <c r="E30" s="304">
        <f t="shared" si="7"/>
        <v>0.5</v>
      </c>
      <c r="F30" s="307">
        <v>202715.674</v>
      </c>
      <c r="G30" s="307">
        <v>24991.138999999999</v>
      </c>
      <c r="H30" s="307">
        <v>51087.387000000002</v>
      </c>
      <c r="I30" s="304">
        <f t="shared" si="8"/>
        <v>0.25201498232445513</v>
      </c>
      <c r="J30" s="303">
        <v>8</v>
      </c>
      <c r="K30" s="303">
        <v>5</v>
      </c>
      <c r="L30" s="304">
        <f t="shared" si="9"/>
        <v>0.625</v>
      </c>
      <c r="M30" s="307">
        <v>129997.38400000001</v>
      </c>
      <c r="N30" s="305">
        <v>79859.315000000002</v>
      </c>
      <c r="O30" s="305">
        <v>94861.634999999995</v>
      </c>
      <c r="P30" s="304">
        <f t="shared" si="3"/>
        <v>0.72971956881840017</v>
      </c>
      <c r="Q30" s="128"/>
      <c r="R30" s="62">
        <v>1000000</v>
      </c>
      <c r="T30" s="121">
        <f>0.005717+0.141801</f>
        <v>0.14751800000000001</v>
      </c>
      <c r="U30" s="126">
        <f>0.005717+0.001246</f>
        <v>6.9629999999999996E-3</v>
      </c>
      <c r="V30" s="127">
        <f>0.09501</f>
        <v>9.5009999999999997E-2</v>
      </c>
      <c r="W30" s="62">
        <f t="shared" si="4"/>
        <v>147518</v>
      </c>
      <c r="X30" s="62">
        <f t="shared" si="5"/>
        <v>6963</v>
      </c>
      <c r="Y30" s="62">
        <f t="shared" si="6"/>
        <v>95010</v>
      </c>
    </row>
    <row r="31" spans="2:25" ht="84.95" customHeight="1">
      <c r="B31" s="306" t="s">
        <v>21</v>
      </c>
      <c r="C31" s="303">
        <v>18</v>
      </c>
      <c r="D31" s="303">
        <v>9</v>
      </c>
      <c r="E31" s="304">
        <f t="shared" si="7"/>
        <v>0.5</v>
      </c>
      <c r="F31" s="307">
        <v>457954.81300000002</v>
      </c>
      <c r="G31" s="307">
        <v>383142.58899999998</v>
      </c>
      <c r="H31" s="307">
        <v>337974.64799999999</v>
      </c>
      <c r="I31" s="304">
        <f t="shared" si="8"/>
        <v>0.73800872576482779</v>
      </c>
      <c r="J31" s="303">
        <v>38</v>
      </c>
      <c r="K31" s="303">
        <v>18</v>
      </c>
      <c r="L31" s="304">
        <f t="shared" si="9"/>
        <v>0.47368421052631576</v>
      </c>
      <c r="M31" s="307">
        <v>588565.56799999997</v>
      </c>
      <c r="N31" s="305">
        <v>498027.28</v>
      </c>
      <c r="O31" s="305">
        <v>355960.777</v>
      </c>
      <c r="P31" s="304">
        <f t="shared" si="3"/>
        <v>0.60479375001427205</v>
      </c>
      <c r="Q31" s="128"/>
      <c r="R31" s="62">
        <v>1000000</v>
      </c>
      <c r="T31" s="118">
        <f>0.5991+0.07</f>
        <v>0.66910000000000003</v>
      </c>
      <c r="U31" s="119">
        <f>0.5525+0.008</f>
        <v>0.5605</v>
      </c>
      <c r="V31" s="120">
        <f>0.2891</f>
        <v>0.28910000000000002</v>
      </c>
      <c r="W31" s="62">
        <f t="shared" si="4"/>
        <v>669100</v>
      </c>
      <c r="X31" s="62">
        <f t="shared" si="5"/>
        <v>560500</v>
      </c>
      <c r="Y31" s="62">
        <f t="shared" si="6"/>
        <v>289100</v>
      </c>
    </row>
    <row r="32" spans="2:25" ht="84.95" customHeight="1">
      <c r="B32" s="306" t="s">
        <v>22</v>
      </c>
      <c r="C32" s="303">
        <v>18</v>
      </c>
      <c r="D32" s="303">
        <v>8</v>
      </c>
      <c r="E32" s="304">
        <f t="shared" si="7"/>
        <v>0.44444444444444442</v>
      </c>
      <c r="F32" s="307">
        <v>489877</v>
      </c>
      <c r="G32" s="307">
        <v>88948</v>
      </c>
      <c r="H32" s="307">
        <v>201584</v>
      </c>
      <c r="I32" s="304">
        <f t="shared" si="8"/>
        <v>0.4114992130677701</v>
      </c>
      <c r="J32" s="303">
        <v>11</v>
      </c>
      <c r="K32" s="303">
        <v>8</v>
      </c>
      <c r="L32" s="304">
        <f t="shared" si="9"/>
        <v>0.72727272727272729</v>
      </c>
      <c r="M32" s="307">
        <f>299223+125801</f>
        <v>425024</v>
      </c>
      <c r="N32" s="305">
        <f>58703+15682</f>
        <v>74385</v>
      </c>
      <c r="O32" s="305">
        <f>80263+17418</f>
        <v>97681</v>
      </c>
      <c r="P32" s="304">
        <f t="shared" si="3"/>
        <v>0.22982466872458968</v>
      </c>
      <c r="Q32" s="128"/>
      <c r="R32" s="62">
        <v>1000000</v>
      </c>
      <c r="T32" s="121">
        <v>0.216</v>
      </c>
      <c r="U32" s="126">
        <v>0.17100000000000001</v>
      </c>
      <c r="V32" s="127">
        <v>0.14899999999999999</v>
      </c>
      <c r="W32" s="62">
        <f t="shared" si="4"/>
        <v>216000</v>
      </c>
      <c r="X32" s="62">
        <f t="shared" si="5"/>
        <v>171000</v>
      </c>
      <c r="Y32" s="62">
        <f t="shared" si="6"/>
        <v>149000</v>
      </c>
    </row>
    <row r="33" spans="2:25" ht="84.95" customHeight="1">
      <c r="B33" s="306" t="s">
        <v>23</v>
      </c>
      <c r="C33" s="303">
        <v>0</v>
      </c>
      <c r="D33" s="303">
        <v>0</v>
      </c>
      <c r="E33" s="304"/>
      <c r="F33" s="307">
        <v>0</v>
      </c>
      <c r="G33" s="307">
        <v>0</v>
      </c>
      <c r="H33" s="307">
        <v>0</v>
      </c>
      <c r="I33" s="304"/>
      <c r="J33" s="303">
        <v>0</v>
      </c>
      <c r="K33" s="303">
        <v>0</v>
      </c>
      <c r="L33" s="304"/>
      <c r="M33" s="307">
        <v>0</v>
      </c>
      <c r="N33" s="305">
        <v>0</v>
      </c>
      <c r="O33" s="305">
        <v>0</v>
      </c>
      <c r="P33" s="304"/>
      <c r="Q33" s="128"/>
      <c r="R33" s="62">
        <v>1000000</v>
      </c>
      <c r="T33" s="121">
        <v>0</v>
      </c>
      <c r="U33" s="126">
        <v>0</v>
      </c>
      <c r="V33" s="127">
        <v>0</v>
      </c>
      <c r="W33" s="62">
        <f t="shared" si="4"/>
        <v>0</v>
      </c>
      <c r="X33" s="62">
        <f t="shared" si="5"/>
        <v>0</v>
      </c>
      <c r="Y33" s="62">
        <f t="shared" si="6"/>
        <v>0</v>
      </c>
    </row>
    <row r="34" spans="2:25" ht="84.95" customHeight="1">
      <c r="B34" s="306" t="s">
        <v>24</v>
      </c>
      <c r="C34" s="303">
        <v>8</v>
      </c>
      <c r="D34" s="303">
        <v>7</v>
      </c>
      <c r="E34" s="304">
        <f t="shared" si="7"/>
        <v>0.875</v>
      </c>
      <c r="F34" s="307">
        <v>257736</v>
      </c>
      <c r="G34" s="307">
        <v>26393</v>
      </c>
      <c r="H34" s="307">
        <v>240893</v>
      </c>
      <c r="I34" s="304">
        <f t="shared" si="8"/>
        <v>0.93465018468510419</v>
      </c>
      <c r="J34" s="303">
        <v>3</v>
      </c>
      <c r="K34" s="303">
        <v>1</v>
      </c>
      <c r="L34" s="304">
        <f t="shared" si="9"/>
        <v>0.33333333333333331</v>
      </c>
      <c r="M34" s="307">
        <v>6760</v>
      </c>
      <c r="N34" s="305">
        <v>0</v>
      </c>
      <c r="O34" s="305">
        <v>3737</v>
      </c>
      <c r="P34" s="304">
        <f t="shared" si="3"/>
        <v>0.55281065088757397</v>
      </c>
      <c r="Q34" s="128"/>
      <c r="R34" s="62">
        <v>1000000</v>
      </c>
      <c r="T34" s="121">
        <f>0.012+0.025</f>
        <v>3.7000000000000005E-2</v>
      </c>
      <c r="U34" s="126">
        <f>0.012</f>
        <v>1.2E-2</v>
      </c>
      <c r="V34" s="127">
        <f>0.012</f>
        <v>1.2E-2</v>
      </c>
      <c r="W34" s="62">
        <f t="shared" si="4"/>
        <v>37000.000000000007</v>
      </c>
      <c r="X34" s="62">
        <f t="shared" si="5"/>
        <v>12000</v>
      </c>
      <c r="Y34" s="62">
        <f t="shared" si="6"/>
        <v>12000</v>
      </c>
    </row>
    <row r="35" spans="2:25" ht="84.95" customHeight="1" thickBot="1">
      <c r="B35" s="308" t="s">
        <v>25</v>
      </c>
      <c r="C35" s="309">
        <v>1</v>
      </c>
      <c r="D35" s="309">
        <v>0</v>
      </c>
      <c r="E35" s="310">
        <f t="shared" si="7"/>
        <v>0</v>
      </c>
      <c r="F35" s="311">
        <v>0</v>
      </c>
      <c r="G35" s="311">
        <v>0</v>
      </c>
      <c r="H35" s="311">
        <v>0</v>
      </c>
      <c r="I35" s="310"/>
      <c r="J35" s="309">
        <v>1</v>
      </c>
      <c r="K35" s="309">
        <v>1</v>
      </c>
      <c r="L35" s="310">
        <f t="shared" si="9"/>
        <v>1</v>
      </c>
      <c r="M35" s="312">
        <v>41709.159</v>
      </c>
      <c r="N35" s="311">
        <v>41709.159</v>
      </c>
      <c r="O35" s="311">
        <v>0</v>
      </c>
      <c r="P35" s="310">
        <f t="shared" si="3"/>
        <v>0</v>
      </c>
      <c r="Q35" s="128"/>
      <c r="R35" s="62">
        <v>1000000</v>
      </c>
      <c r="T35" s="121">
        <v>5.8999999999999997E-2</v>
      </c>
      <c r="U35" s="126">
        <v>0</v>
      </c>
      <c r="V35" s="126">
        <v>0</v>
      </c>
      <c r="W35" s="62">
        <f t="shared" si="4"/>
        <v>59000</v>
      </c>
      <c r="X35" s="62">
        <f t="shared" si="5"/>
        <v>0</v>
      </c>
      <c r="Y35" s="62">
        <f t="shared" si="6"/>
        <v>0</v>
      </c>
    </row>
    <row r="36" spans="2:25" ht="84.95" customHeight="1" thickBot="1">
      <c r="B36" s="252" t="s">
        <v>34</v>
      </c>
      <c r="C36" s="138">
        <f>SUM(C7:C35)</f>
        <v>1628</v>
      </c>
      <c r="D36" s="138">
        <f>SUM(D7:D35)</f>
        <v>809</v>
      </c>
      <c r="E36" s="139">
        <f t="shared" si="7"/>
        <v>0.49692874692874694</v>
      </c>
      <c r="F36" s="193">
        <f>SUM(F7:F35)</f>
        <v>77934435.652999997</v>
      </c>
      <c r="G36" s="193">
        <f t="shared" ref="G36:H36" si="10">SUM(G7:G35)</f>
        <v>41665623.755000003</v>
      </c>
      <c r="H36" s="193">
        <f t="shared" si="10"/>
        <v>42056635.736000001</v>
      </c>
      <c r="I36" s="140">
        <f t="shared" si="8"/>
        <v>0.53964124309894945</v>
      </c>
      <c r="J36" s="138">
        <f>SUM(J7:J35)</f>
        <v>1396</v>
      </c>
      <c r="K36" s="138">
        <f>SUM(K7:K35)</f>
        <v>585</v>
      </c>
      <c r="L36" s="140">
        <f t="shared" si="9"/>
        <v>0.41905444126074498</v>
      </c>
      <c r="M36" s="205">
        <f>SUM(M7:M35)</f>
        <v>69315816.11500001</v>
      </c>
      <c r="N36" s="205">
        <f>SUM(N7:N35)</f>
        <v>41795696.5</v>
      </c>
      <c r="O36" s="205">
        <f>SUM(O7:O35)</f>
        <v>29170605.460000001</v>
      </c>
      <c r="P36" s="140">
        <f>O36/M36</f>
        <v>0.42083621163175561</v>
      </c>
      <c r="Q36" s="79"/>
    </row>
    <row r="37" spans="2:25" ht="37.5" customHeight="1">
      <c r="B37" s="171"/>
      <c r="C37" s="202"/>
      <c r="D37" s="203"/>
      <c r="E37" s="203"/>
      <c r="F37" s="204"/>
    </row>
    <row r="38" spans="2:25" ht="67.5">
      <c r="B38" s="171"/>
      <c r="C38" s="202"/>
      <c r="D38" s="203"/>
      <c r="E38" s="203"/>
      <c r="F38" s="204"/>
    </row>
    <row r="39" spans="2:25" ht="67.5">
      <c r="B39" s="171"/>
      <c r="C39" s="202"/>
      <c r="D39" s="203"/>
      <c r="E39" s="203"/>
      <c r="F39" s="204"/>
    </row>
    <row r="40" spans="2:25" ht="67.5">
      <c r="B40" s="171"/>
      <c r="C40" s="202"/>
      <c r="D40" s="203"/>
      <c r="E40" s="203"/>
      <c r="F40" s="204"/>
    </row>
    <row r="41" spans="2:25" ht="67.5">
      <c r="B41" s="171"/>
      <c r="C41" s="442"/>
      <c r="D41" s="442"/>
      <c r="E41" s="442"/>
      <c r="F41" s="442"/>
    </row>
    <row r="42" spans="2:25" ht="67.5">
      <c r="B42" s="171"/>
      <c r="C42" s="202"/>
      <c r="D42" s="203"/>
      <c r="E42" s="203"/>
      <c r="F42" s="204"/>
    </row>
    <row r="43" spans="2:25" ht="67.5">
      <c r="B43" s="171"/>
      <c r="C43" s="202"/>
      <c r="D43" s="203"/>
      <c r="E43" s="203"/>
      <c r="F43" s="204"/>
    </row>
    <row r="45" spans="2:25" ht="67.5">
      <c r="B45" s="171"/>
      <c r="C45" s="202"/>
      <c r="D45" s="203"/>
      <c r="E45" s="203"/>
      <c r="F45" s="204"/>
    </row>
    <row r="46" spans="2:25" ht="67.5">
      <c r="B46" s="171"/>
      <c r="C46" s="202"/>
      <c r="D46" s="203"/>
      <c r="E46" s="203"/>
      <c r="F46" s="204"/>
    </row>
    <row r="47" spans="2:25" ht="67.5">
      <c r="B47" s="171"/>
      <c r="C47" s="202"/>
      <c r="D47" s="203"/>
      <c r="E47" s="203"/>
      <c r="F47" s="204"/>
    </row>
  </sheetData>
  <mergeCells count="7">
    <mergeCell ref="C41:F41"/>
    <mergeCell ref="O1:P1"/>
    <mergeCell ref="C5:I5"/>
    <mergeCell ref="J5:P5"/>
    <mergeCell ref="B2:P2"/>
    <mergeCell ref="B3:P3"/>
    <mergeCell ref="B5:B6"/>
  </mergeCells>
  <phoneticPr fontId="4" type="noConversion"/>
  <pageMargins left="0" right="0" top="0" bottom="0" header="0" footer="0"/>
  <pageSetup paperSize="9" scale="16" fitToWidth="3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2:E30"/>
  <sheetViews>
    <sheetView rightToLeft="1" topLeftCell="A2" workbookViewId="0">
      <selection activeCell="B3" sqref="B3:D3"/>
    </sheetView>
  </sheetViews>
  <sheetFormatPr baseColWidth="10" defaultRowHeight="12.75"/>
  <cols>
    <col min="2" max="2" width="57.140625" customWidth="1"/>
    <col min="3" max="3" width="27" customWidth="1"/>
    <col min="4" max="4" width="28.42578125" customWidth="1"/>
  </cols>
  <sheetData>
    <row r="2" spans="2:5" ht="28.5" customHeight="1">
      <c r="D2" s="375" t="s">
        <v>92</v>
      </c>
    </row>
    <row r="3" spans="2:5" ht="59.25" customHeight="1">
      <c r="B3" s="448" t="s">
        <v>115</v>
      </c>
      <c r="C3" s="448"/>
      <c r="D3" s="448"/>
    </row>
    <row r="4" spans="2:5" ht="14.25" customHeight="1"/>
    <row r="5" spans="2:5" ht="18.75" customHeight="1" thickBot="1"/>
    <row r="6" spans="2:5" ht="42.75" customHeight="1">
      <c r="B6" s="189"/>
      <c r="C6" s="373" t="s">
        <v>74</v>
      </c>
      <c r="D6" s="373" t="s">
        <v>113</v>
      </c>
    </row>
    <row r="7" spans="2:5" ht="48.75" customHeight="1">
      <c r="B7" s="374" t="s">
        <v>98</v>
      </c>
      <c r="C7" s="376">
        <v>144</v>
      </c>
      <c r="D7" s="376">
        <v>88</v>
      </c>
    </row>
    <row r="8" spans="2:5" ht="37.5" customHeight="1">
      <c r="B8" s="374" t="s">
        <v>99</v>
      </c>
      <c r="C8" s="376">
        <v>341</v>
      </c>
      <c r="D8" s="376">
        <v>507</v>
      </c>
    </row>
    <row r="9" spans="2:5" ht="36" customHeight="1">
      <c r="B9" s="374" t="s">
        <v>100</v>
      </c>
      <c r="C9" s="376">
        <v>397</v>
      </c>
      <c r="D9" s="376">
        <v>392</v>
      </c>
    </row>
    <row r="10" spans="2:5" ht="32.25" customHeight="1">
      <c r="B10" s="374" t="s">
        <v>101</v>
      </c>
      <c r="C10" s="376">
        <v>246</v>
      </c>
      <c r="D10" s="376">
        <v>234</v>
      </c>
    </row>
    <row r="11" spans="2:5" ht="33" customHeight="1">
      <c r="B11" s="374" t="s">
        <v>60</v>
      </c>
      <c r="C11" s="376">
        <v>98</v>
      </c>
      <c r="D11" s="376">
        <v>80</v>
      </c>
    </row>
    <row r="12" spans="2:5" ht="40.5" customHeight="1">
      <c r="B12" s="374" t="s">
        <v>102</v>
      </c>
      <c r="C12" s="376">
        <v>53</v>
      </c>
      <c r="D12" s="376">
        <v>78</v>
      </c>
    </row>
    <row r="15" spans="2:5">
      <c r="D15" s="261"/>
      <c r="E15" s="261"/>
    </row>
    <row r="16" spans="2:5">
      <c r="D16" s="261"/>
      <c r="E16" s="261"/>
    </row>
    <row r="17" spans="4:5">
      <c r="D17" s="261"/>
      <c r="E17" s="261"/>
    </row>
    <row r="18" spans="4:5">
      <c r="D18" s="261"/>
      <c r="E18" s="261"/>
    </row>
    <row r="19" spans="4:5">
      <c r="D19" s="261"/>
      <c r="E19" s="261"/>
    </row>
    <row r="20" spans="4:5">
      <c r="D20" s="261"/>
      <c r="E20" s="261"/>
    </row>
    <row r="21" spans="4:5">
      <c r="D21" s="261"/>
      <c r="E21" s="261"/>
    </row>
    <row r="22" spans="4:5">
      <c r="D22" s="261"/>
      <c r="E22" s="261"/>
    </row>
    <row r="23" spans="4:5">
      <c r="D23" s="261"/>
      <c r="E23" s="261"/>
    </row>
    <row r="24" spans="4:5">
      <c r="D24" s="261"/>
      <c r="E24" s="261"/>
    </row>
    <row r="25" spans="4:5">
      <c r="D25" s="261"/>
      <c r="E25" s="261"/>
    </row>
    <row r="26" spans="4:5">
      <c r="D26" s="261"/>
      <c r="E26" s="261"/>
    </row>
    <row r="27" spans="4:5">
      <c r="D27" s="261"/>
      <c r="E27" s="261"/>
    </row>
    <row r="28" spans="4:5">
      <c r="D28" s="261"/>
      <c r="E28" s="261"/>
    </row>
    <row r="29" spans="4:5">
      <c r="D29" s="261"/>
      <c r="E29" s="261"/>
    </row>
    <row r="30" spans="4:5">
      <c r="D30" s="261"/>
      <c r="E30" s="261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7</vt:i4>
      </vt:variant>
    </vt:vector>
  </HeadingPairs>
  <TitlesOfParts>
    <vt:vector size="19" baseType="lpstr">
      <vt:lpstr>هيكلية قرارات التوظيف الإجباري</vt:lpstr>
      <vt:lpstr>أساس الأداء في الطور الإبتدائي</vt:lpstr>
      <vt:lpstr>قرارات التوظيف الإجباري</vt:lpstr>
      <vt:lpstr>ت,إ المحكوم بإقرارها</vt:lpstr>
      <vt:lpstr>تعديل قرارات تويف</vt:lpstr>
      <vt:lpstr>إلغاء قرارات تويف</vt:lpstr>
      <vt:lpstr>الطور الإبتدائي</vt:lpstr>
      <vt:lpstr>الطور الإستئنافي</vt:lpstr>
      <vt:lpstr>القضايا التعقيبية</vt:lpstr>
      <vt:lpstr>قرارات المحكمة الإدارية</vt:lpstr>
      <vt:lpstr>المخالفات الجبائية</vt:lpstr>
      <vt:lpstr>ملحق عدد 13 </vt:lpstr>
      <vt:lpstr>'أساس الأداء في الطور الإبتدائي'!Zone_d_impression</vt:lpstr>
      <vt:lpstr>'الطور الإبتدائي'!Zone_d_impression</vt:lpstr>
      <vt:lpstr>'الطور الإستئنافي'!Zone_d_impression</vt:lpstr>
      <vt:lpstr>'إلغاء قرارات تويف'!Zone_d_impression</vt:lpstr>
      <vt:lpstr>'المخالفات الجبائية'!Zone_d_impression</vt:lpstr>
      <vt:lpstr>'قرارات التوظيف الإجباري'!Zone_d_impression</vt:lpstr>
      <vt:lpstr>'هيكلية قرارات التوظيف الإجباري'!Zone_d_impression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hatem achour</dc:creator>
  <cp:lastModifiedBy>Administrateur</cp:lastModifiedBy>
  <cp:lastPrinted>2015-02-27T08:03:04Z</cp:lastPrinted>
  <dcterms:created xsi:type="dcterms:W3CDTF">2005-09-20T16:27:00Z</dcterms:created>
  <dcterms:modified xsi:type="dcterms:W3CDTF">2015-05-11T08:10:07Z</dcterms:modified>
</cp:coreProperties>
</file>